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an\Documents\Fin-Courses\FINANCIAL MEDIA - CFO Magazine\CFO - Magazine 2019-2022 Werkkapitaal\2021 - 03 Artikel WK Matrix\"/>
    </mc:Choice>
  </mc:AlternateContent>
  <xr:revisionPtr revIDLastSave="0" documentId="13_ncr:1_{1A462B66-B3FE-42C8-AD2D-7E74352DD9ED}" xr6:coauthVersionLast="47" xr6:coauthVersionMax="47" xr10:uidLastSave="{00000000-0000-0000-0000-000000000000}"/>
  <bookViews>
    <workbookView xWindow="-120" yWindow="-120" windowWidth="29040" windowHeight="17640" tabRatio="976" xr2:uid="{00000000-000D-0000-FFFF-FFFF00000000}"/>
  </bookViews>
  <sheets>
    <sheet name="Balans" sheetId="4" r:id="rId1"/>
    <sheet name="V&amp;W" sheetId="2" r:id="rId2"/>
    <sheet name="234. Werkkapitaal" sheetId="7" r:id="rId3"/>
    <sheet name="234. Werkkapitaalmatrix" sheetId="6" r:id="rId4"/>
    <sheet name="235. CaCu" sheetId="22" r:id="rId5"/>
    <sheet name="236. Liquiditeit" sheetId="24" r:id="rId6"/>
    <sheet name="237. Solvabel" sheetId="27" r:id="rId7"/>
    <sheet name="237. i-coverage" sheetId="28" r:id="rId8"/>
    <sheet name="239. WK ratio" sheetId="25" r:id="rId9"/>
    <sheet name="239. Activiteit" sheetId="23" r:id="rId10"/>
    <sheet name="240. Dood WK" sheetId="26" r:id="rId11"/>
    <sheet name="242. CF Proxies" sheetId="9" r:id="rId12"/>
    <sheet name="242. OCF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8" l="1"/>
  <c r="J3" i="28"/>
  <c r="H6" i="28"/>
  <c r="J6" i="28"/>
  <c r="F6" i="28"/>
  <c r="F3" i="28"/>
  <c r="L1" i="28"/>
  <c r="J1" i="28"/>
  <c r="H1" i="28"/>
  <c r="F1" i="28"/>
  <c r="H3" i="27"/>
  <c r="J3" i="27"/>
  <c r="L3" i="27"/>
  <c r="H4" i="27"/>
  <c r="J4" i="27"/>
  <c r="L4" i="27"/>
  <c r="H5" i="27"/>
  <c r="J5" i="27"/>
  <c r="L5" i="27"/>
  <c r="H1" i="27"/>
  <c r="J1" i="27"/>
  <c r="L1" i="27"/>
  <c r="F1" i="27"/>
  <c r="F5" i="27"/>
  <c r="F4" i="27"/>
  <c r="F3" i="27"/>
  <c r="K46" i="26"/>
  <c r="K44" i="26"/>
  <c r="I44" i="26"/>
  <c r="K30" i="26"/>
  <c r="I30" i="26"/>
  <c r="K37" i="26"/>
  <c r="G37" i="26"/>
  <c r="I37" i="26"/>
  <c r="E37" i="26"/>
  <c r="G40" i="26"/>
  <c r="I40" i="26"/>
  <c r="G41" i="26"/>
  <c r="I41" i="26"/>
  <c r="G43" i="26"/>
  <c r="G44" i="26" s="1"/>
  <c r="I43" i="26"/>
  <c r="G34" i="26"/>
  <c r="I34" i="26"/>
  <c r="I36" i="26" s="1"/>
  <c r="E34" i="26"/>
  <c r="E41" i="26"/>
  <c r="E40" i="26"/>
  <c r="E36" i="26"/>
  <c r="G26" i="26"/>
  <c r="I26" i="26"/>
  <c r="G27" i="26"/>
  <c r="I27" i="26"/>
  <c r="G29" i="26"/>
  <c r="G30" i="26" s="1"/>
  <c r="I29" i="26"/>
  <c r="E27" i="26"/>
  <c r="E29" i="26" s="1"/>
  <c r="E30" i="26" s="1"/>
  <c r="E26" i="26"/>
  <c r="G14" i="26"/>
  <c r="G18" i="26" s="1"/>
  <c r="I14" i="26"/>
  <c r="K14" i="26"/>
  <c r="K18" i="26" s="1"/>
  <c r="G16" i="26"/>
  <c r="I16" i="26"/>
  <c r="I18" i="26" s="1"/>
  <c r="K16" i="26"/>
  <c r="E16" i="26"/>
  <c r="E14" i="26"/>
  <c r="G3" i="26"/>
  <c r="I3" i="26"/>
  <c r="K3" i="26"/>
  <c r="G4" i="26"/>
  <c r="I4" i="26"/>
  <c r="K4" i="26"/>
  <c r="G5" i="26"/>
  <c r="I5" i="26"/>
  <c r="K5" i="26"/>
  <c r="G6" i="26"/>
  <c r="I6" i="26"/>
  <c r="K6" i="26"/>
  <c r="G7" i="26"/>
  <c r="I7" i="26"/>
  <c r="K7" i="26"/>
  <c r="G8" i="26"/>
  <c r="I8" i="26"/>
  <c r="K8" i="26"/>
  <c r="E8" i="26"/>
  <c r="E7" i="26"/>
  <c r="E6" i="26"/>
  <c r="E5" i="26"/>
  <c r="E4" i="26"/>
  <c r="E3" i="26"/>
  <c r="G1" i="26"/>
  <c r="G23" i="26" s="1"/>
  <c r="I1" i="26"/>
  <c r="I23" i="26" s="1"/>
  <c r="K1" i="26"/>
  <c r="E1" i="26"/>
  <c r="K43" i="26"/>
  <c r="K36" i="26"/>
  <c r="K29" i="26"/>
  <c r="K23" i="26"/>
  <c r="E23" i="26"/>
  <c r="E43" i="26" l="1"/>
  <c r="E44" i="26" s="1"/>
  <c r="E46" i="26" s="1"/>
  <c r="I46" i="26"/>
  <c r="E18" i="26"/>
  <c r="K12" i="26"/>
  <c r="G12" i="26"/>
  <c r="G36" i="26"/>
  <c r="G46" i="26" s="1"/>
  <c r="E12" i="26"/>
  <c r="I12" i="26"/>
  <c r="G14" i="25" l="1"/>
  <c r="I11" i="25"/>
  <c r="K11" i="25"/>
  <c r="M11" i="25"/>
  <c r="I14" i="25"/>
  <c r="K14" i="25"/>
  <c r="M14" i="25"/>
  <c r="G11" i="25"/>
  <c r="M5" i="25"/>
  <c r="K5" i="25"/>
  <c r="I5" i="25"/>
  <c r="G5" i="25"/>
  <c r="M4" i="25"/>
  <c r="K4" i="25"/>
  <c r="I4" i="25"/>
  <c r="G4" i="25"/>
  <c r="M3" i="25"/>
  <c r="K3" i="25"/>
  <c r="I3" i="25"/>
  <c r="G3" i="25"/>
  <c r="M1" i="25"/>
  <c r="M9" i="25" s="1"/>
  <c r="K1" i="25"/>
  <c r="K9" i="25" s="1"/>
  <c r="I1" i="25"/>
  <c r="I9" i="25" s="1"/>
  <c r="G1" i="25"/>
  <c r="G9" i="25" s="1"/>
  <c r="I26" i="2"/>
  <c r="G26" i="2"/>
  <c r="E26" i="2"/>
  <c r="F11" i="9"/>
  <c r="H11" i="9"/>
  <c r="D11" i="9"/>
  <c r="F10" i="9"/>
  <c r="H10" i="9"/>
  <c r="D10" i="9"/>
  <c r="M8" i="7"/>
  <c r="N8" i="7"/>
  <c r="O8" i="7"/>
  <c r="P8" i="7"/>
  <c r="Q8" i="7"/>
  <c r="K8" i="7"/>
  <c r="L8" i="7"/>
  <c r="M3" i="24" l="1"/>
  <c r="M4" i="24"/>
  <c r="M5" i="24"/>
  <c r="M1" i="24"/>
  <c r="K1" i="24"/>
  <c r="I1" i="24"/>
  <c r="G1" i="24"/>
  <c r="J18" i="23"/>
  <c r="H18" i="23"/>
  <c r="F18" i="23"/>
  <c r="H1" i="23"/>
  <c r="J1" i="23"/>
  <c r="L1" i="23"/>
  <c r="L12" i="23" s="1"/>
  <c r="F1" i="23"/>
  <c r="J9" i="23"/>
  <c r="J24" i="23" s="1"/>
  <c r="H9" i="23"/>
  <c r="H24" i="23" s="1"/>
  <c r="F9" i="23"/>
  <c r="F24" i="23" s="1"/>
  <c r="J3" i="23"/>
  <c r="J15" i="23" s="1"/>
  <c r="H3" i="23"/>
  <c r="H15" i="23" s="1"/>
  <c r="F3" i="23"/>
  <c r="F15" i="23" s="1"/>
  <c r="P11" i="22"/>
  <c r="L1" i="22"/>
  <c r="N1" i="22"/>
  <c r="P1" i="22"/>
  <c r="J1" i="22"/>
  <c r="F12" i="23" l="1"/>
  <c r="H12" i="23"/>
  <c r="J12" i="23"/>
  <c r="L3" i="7" l="1"/>
  <c r="M3" i="7"/>
  <c r="N3" i="7"/>
  <c r="O3" i="7"/>
  <c r="P3" i="7"/>
  <c r="Q3" i="7"/>
  <c r="L4" i="7"/>
  <c r="N4" i="7"/>
  <c r="P4" i="7"/>
  <c r="Q4" i="7"/>
  <c r="L5" i="7"/>
  <c r="M5" i="7"/>
  <c r="N5" i="7"/>
  <c r="O5" i="7"/>
  <c r="P5" i="7"/>
  <c r="Q5" i="7"/>
  <c r="P12" i="22" s="1"/>
  <c r="P13" i="22" s="1"/>
  <c r="L6" i="7"/>
  <c r="N6" i="7"/>
  <c r="P6" i="7"/>
  <c r="Q6" i="7"/>
  <c r="L7" i="7"/>
  <c r="N7" i="7"/>
  <c r="P7" i="7"/>
  <c r="Q7" i="7"/>
  <c r="G2" i="2"/>
  <c r="F1" i="9" s="1"/>
  <c r="I2" i="2"/>
  <c r="H1" i="9" s="1"/>
  <c r="E2" i="2"/>
  <c r="O2" i="4"/>
  <c r="Q2" i="4"/>
  <c r="S2" i="4"/>
  <c r="M2" i="4"/>
  <c r="H4" i="9"/>
  <c r="S6" i="4"/>
  <c r="G15" i="14"/>
  <c r="I15" i="14"/>
  <c r="G16" i="14"/>
  <c r="I16" i="14"/>
  <c r="G17" i="14"/>
  <c r="I17" i="14"/>
  <c r="G18" i="14"/>
  <c r="I18" i="14"/>
  <c r="G19" i="14"/>
  <c r="I19" i="14"/>
  <c r="E19" i="14"/>
  <c r="E18" i="14"/>
  <c r="E17" i="14"/>
  <c r="E16" i="14"/>
  <c r="E15" i="14"/>
  <c r="H2" i="14"/>
  <c r="I2" i="14"/>
  <c r="G2" i="14"/>
  <c r="I7" i="14"/>
  <c r="G11" i="14"/>
  <c r="I11" i="14"/>
  <c r="G12" i="14"/>
  <c r="I12" i="14"/>
  <c r="E12" i="14"/>
  <c r="E11" i="14"/>
  <c r="E2" i="14"/>
  <c r="K5" i="7"/>
  <c r="M1" i="7"/>
  <c r="O1" i="7"/>
  <c r="Q1" i="7"/>
  <c r="K1" i="7"/>
  <c r="I21" i="2"/>
  <c r="I22" i="2" s="1"/>
  <c r="G21" i="2"/>
  <c r="G22" i="2" s="1"/>
  <c r="E21" i="2"/>
  <c r="E22" i="2" s="1"/>
  <c r="S24" i="4"/>
  <c r="S16" i="4"/>
  <c r="Q16" i="4"/>
  <c r="O16" i="4"/>
  <c r="M16" i="4"/>
  <c r="O11" i="4"/>
  <c r="Q11" i="4"/>
  <c r="S11" i="4"/>
  <c r="M11" i="4"/>
  <c r="E9" i="4"/>
  <c r="C9" i="4" s="1"/>
  <c r="E7" i="4"/>
  <c r="C7" i="4" s="1"/>
  <c r="G6" i="4"/>
  <c r="E6" i="4" s="1"/>
  <c r="E10" i="4"/>
  <c r="C10" i="4"/>
  <c r="E8" i="4"/>
  <c r="C8" i="4"/>
  <c r="I11" i="4"/>
  <c r="G6" i="2"/>
  <c r="I6" i="2"/>
  <c r="E6" i="2"/>
  <c r="E24" i="4"/>
  <c r="G24" i="4"/>
  <c r="I24" i="4"/>
  <c r="C24" i="4"/>
  <c r="I14" i="2"/>
  <c r="G14" i="2"/>
  <c r="E14" i="2"/>
  <c r="S26" i="4"/>
  <c r="I20" i="14"/>
  <c r="G20" i="14"/>
  <c r="E20" i="14"/>
  <c r="K3" i="7"/>
  <c r="I26" i="4"/>
  <c r="G11" i="4"/>
  <c r="G26" i="4"/>
  <c r="G33" i="2" l="1"/>
  <c r="E42" i="2"/>
  <c r="D1" i="9"/>
  <c r="Q38" i="6"/>
  <c r="Q48" i="6"/>
  <c r="I43" i="6"/>
  <c r="I47" i="6"/>
  <c r="I39" i="6"/>
  <c r="Q34" i="6"/>
  <c r="Q35" i="6"/>
  <c r="Q39" i="6"/>
  <c r="I44" i="6"/>
  <c r="I48" i="6"/>
  <c r="L17" i="22"/>
  <c r="L4" i="22"/>
  <c r="L12" i="22"/>
  <c r="L8" i="22"/>
  <c r="N17" i="22"/>
  <c r="N4" i="22"/>
  <c r="N12" i="22"/>
  <c r="N8" i="22"/>
  <c r="I42" i="6"/>
  <c r="I46" i="6"/>
  <c r="I38" i="6"/>
  <c r="Q33" i="6"/>
  <c r="Q37" i="6"/>
  <c r="Q47" i="6"/>
  <c r="Q10" i="6" s="1"/>
  <c r="J17" i="22"/>
  <c r="J8" i="22"/>
  <c r="J12" i="22"/>
  <c r="J4" i="22"/>
  <c r="E33" i="2"/>
  <c r="E10" i="2"/>
  <c r="I33" i="2"/>
  <c r="I42" i="2"/>
  <c r="G42" i="2"/>
  <c r="N3" i="22"/>
  <c r="J7" i="23"/>
  <c r="J21" i="23" s="1"/>
  <c r="J27" i="23" s="1"/>
  <c r="N16" i="22" s="1"/>
  <c r="N18" i="22" s="1"/>
  <c r="N7" i="22"/>
  <c r="G10" i="2"/>
  <c r="F7" i="23"/>
  <c r="F21" i="23" s="1"/>
  <c r="F27" i="23" s="1"/>
  <c r="J16" i="22" s="1"/>
  <c r="J18" i="22" s="1"/>
  <c r="J3" i="22"/>
  <c r="J7" i="22"/>
  <c r="J9" i="22" s="1"/>
  <c r="I10" i="2"/>
  <c r="H7" i="23"/>
  <c r="H21" i="23" s="1"/>
  <c r="H27" i="23" s="1"/>
  <c r="L16" i="22" s="1"/>
  <c r="L18" i="22" s="1"/>
  <c r="L3" i="22"/>
  <c r="L5" i="22" s="1"/>
  <c r="L7" i="22"/>
  <c r="L9" i="22" s="1"/>
  <c r="E11" i="4"/>
  <c r="C6" i="4"/>
  <c r="C11" i="4" s="1"/>
  <c r="G17" i="2"/>
  <c r="S28" i="4"/>
  <c r="N9" i="22" l="1"/>
  <c r="I11" i="6"/>
  <c r="J5" i="22"/>
  <c r="I5" i="6"/>
  <c r="Q6" i="6"/>
  <c r="I9" i="6"/>
  <c r="N5" i="22"/>
  <c r="Q4" i="6"/>
  <c r="E16" i="2"/>
  <c r="G16" i="2"/>
  <c r="G18" i="2" s="1"/>
  <c r="I16" i="2"/>
  <c r="G7" i="14"/>
  <c r="F4" i="9"/>
  <c r="C26" i="4"/>
  <c r="E26" i="4"/>
  <c r="E17" i="2"/>
  <c r="G5" i="14" l="1"/>
  <c r="G9" i="14" s="1"/>
  <c r="G13" i="14" s="1"/>
  <c r="I18" i="2"/>
  <c r="E7" i="14"/>
  <c r="E18" i="2"/>
  <c r="D4" i="9"/>
  <c r="F3" i="9"/>
  <c r="G24" i="2"/>
  <c r="F8" i="9" l="1"/>
  <c r="F14" i="9" s="1"/>
  <c r="I24" i="2"/>
  <c r="I5" i="14"/>
  <c r="I9" i="14" s="1"/>
  <c r="I13" i="14" s="1"/>
  <c r="H3" i="9"/>
  <c r="E5" i="14"/>
  <c r="E9" i="14" s="1"/>
  <c r="E13" i="14" s="1"/>
  <c r="E24" i="2"/>
  <c r="D3" i="9"/>
  <c r="D8" i="9" s="1"/>
  <c r="D14" i="9" s="1"/>
  <c r="M7" i="7" l="1"/>
  <c r="G21" i="14"/>
  <c r="G23" i="14" s="1"/>
  <c r="K7" i="7"/>
  <c r="E21" i="14"/>
  <c r="E23" i="14" s="1"/>
  <c r="I21" i="14"/>
  <c r="O7" i="7"/>
  <c r="I23" i="14"/>
  <c r="G27" i="2"/>
  <c r="G30" i="2" s="1"/>
  <c r="H8" i="9"/>
  <c r="H14" i="9" s="1"/>
  <c r="I27" i="2"/>
  <c r="I30" i="2" s="1"/>
  <c r="E27" i="2"/>
  <c r="E30" i="2" s="1"/>
  <c r="C47" i="6" l="1"/>
  <c r="C39" i="6"/>
  <c r="C43" i="6"/>
  <c r="K38" i="6"/>
  <c r="K34" i="6"/>
  <c r="K48" i="6"/>
  <c r="M48" i="6"/>
  <c r="E43" i="6"/>
  <c r="E47" i="6"/>
  <c r="E39" i="6"/>
  <c r="M34" i="6"/>
  <c r="M38" i="6"/>
  <c r="G34" i="2"/>
  <c r="O48" i="6"/>
  <c r="G43" i="6"/>
  <c r="G39" i="6"/>
  <c r="O34" i="6"/>
  <c r="O38" i="6"/>
  <c r="G47" i="6"/>
  <c r="I34" i="2"/>
  <c r="E34" i="2"/>
  <c r="E35" i="2" l="1"/>
  <c r="E36" i="2" s="1"/>
  <c r="I35" i="2"/>
  <c r="I36" i="2" s="1"/>
  <c r="I37" i="2" s="1"/>
  <c r="Q5" i="4" s="1"/>
  <c r="G35" i="2"/>
  <c r="G36" i="2" s="1"/>
  <c r="I38" i="2" l="1"/>
  <c r="I39" i="2" s="1"/>
  <c r="Q6" i="4"/>
  <c r="O21" i="4"/>
  <c r="G37" i="2"/>
  <c r="O5" i="4" s="1"/>
  <c r="G38" i="2" s="1"/>
  <c r="E37" i="2"/>
  <c r="M21" i="4"/>
  <c r="K6" i="7" s="1"/>
  <c r="C44" i="6" s="1"/>
  <c r="Q21" i="4"/>
  <c r="M5" i="4" l="1"/>
  <c r="O6" i="4"/>
  <c r="G39" i="2"/>
  <c r="M6" i="7"/>
  <c r="O24" i="4"/>
  <c r="C48" i="6"/>
  <c r="M24" i="4"/>
  <c r="K4" i="7" s="1"/>
  <c r="C42" i="6" s="1"/>
  <c r="C9" i="6" s="1"/>
  <c r="K35" i="6"/>
  <c r="K39" i="6"/>
  <c r="Q24" i="4"/>
  <c r="O6" i="7"/>
  <c r="M6" i="4" l="1"/>
  <c r="E38" i="2"/>
  <c r="E39" i="2" s="1"/>
  <c r="K37" i="6"/>
  <c r="K6" i="6" s="1"/>
  <c r="L11" i="22"/>
  <c r="L13" i="22" s="1"/>
  <c r="I4" i="24"/>
  <c r="O26" i="4"/>
  <c r="I3" i="24"/>
  <c r="M4" i="7"/>
  <c r="I5" i="24"/>
  <c r="M39" i="6"/>
  <c r="E48" i="6"/>
  <c r="E44" i="6"/>
  <c r="M35" i="6"/>
  <c r="G3" i="24"/>
  <c r="G4" i="24"/>
  <c r="K47" i="6"/>
  <c r="K10" i="6" s="1"/>
  <c r="K33" i="6"/>
  <c r="K4" i="6" s="1"/>
  <c r="J11" i="22"/>
  <c r="J13" i="22" s="1"/>
  <c r="C38" i="6"/>
  <c r="C5" i="6" s="1"/>
  <c r="G5" i="24"/>
  <c r="C46" i="6"/>
  <c r="C11" i="6" s="1"/>
  <c r="O39" i="6"/>
  <c r="G48" i="6"/>
  <c r="G44" i="6"/>
  <c r="O35" i="6"/>
  <c r="K4" i="24"/>
  <c r="K3" i="24"/>
  <c r="K5" i="24"/>
  <c r="N11" i="22"/>
  <c r="N13" i="22" s="1"/>
  <c r="O4" i="7"/>
  <c r="Q26" i="4"/>
  <c r="M26" i="4" l="1"/>
  <c r="M28" i="4"/>
  <c r="O28" i="4"/>
  <c r="M33" i="6"/>
  <c r="M4" i="6" s="1"/>
  <c r="E46" i="6"/>
  <c r="E11" i="6" s="1"/>
  <c r="M47" i="6"/>
  <c r="M10" i="6" s="1"/>
  <c r="E42" i="6"/>
  <c r="E9" i="6" s="1"/>
  <c r="E38" i="6"/>
  <c r="E5" i="6" s="1"/>
  <c r="M37" i="6"/>
  <c r="M6" i="6" s="1"/>
  <c r="Q28" i="4"/>
  <c r="G42" i="6"/>
  <c r="G9" i="6" s="1"/>
  <c r="O33" i="6"/>
  <c r="O4" i="6" s="1"/>
  <c r="O47" i="6"/>
  <c r="O10" i="6" s="1"/>
  <c r="G38" i="6"/>
  <c r="G5" i="6" s="1"/>
  <c r="O37" i="6"/>
  <c r="O6" i="6" s="1"/>
  <c r="G46" i="6"/>
  <c r="G11" i="6" s="1"/>
</calcChain>
</file>

<file path=xl/sharedStrings.xml><?xml version="1.0" encoding="utf-8"?>
<sst xmlns="http://schemas.openxmlformats.org/spreadsheetml/2006/main" count="427" uniqueCount="231">
  <si>
    <t xml:space="preserve">Handelsdebiteuren </t>
  </si>
  <si>
    <t xml:space="preserve">Liquide middelen </t>
  </si>
  <si>
    <t xml:space="preserve">Handelscrediteuren </t>
  </si>
  <si>
    <t>Netto werkkapitaal</t>
  </si>
  <si>
    <t>-</t>
  </si>
  <si>
    <t xml:space="preserve">Kostprijs van de omzet </t>
  </si>
  <si>
    <t xml:space="preserve">Incourante voorraden </t>
  </si>
  <si>
    <t xml:space="preserve">Interestbaten </t>
  </si>
  <si>
    <t xml:space="preserve">Interestlasten </t>
  </si>
  <si>
    <t xml:space="preserve">Kosten derden </t>
  </si>
  <si>
    <t>Bruto winst (Gross Profit)</t>
  </si>
  <si>
    <t>Net Interest</t>
  </si>
  <si>
    <t>Buitengewoon resultaat na belasting</t>
  </si>
  <si>
    <t>Netto resultaat (NE)</t>
  </si>
  <si>
    <t>Actief</t>
  </si>
  <si>
    <t>Passief</t>
  </si>
  <si>
    <t>:</t>
  </si>
  <si>
    <t>+ Dotatie voorzieningen</t>
  </si>
  <si>
    <t>-  Onttrekking voorzieningen</t>
  </si>
  <si>
    <t>LIQUIDITEIT</t>
  </si>
  <si>
    <t>Current ratio</t>
  </si>
  <si>
    <t>Quick ratio</t>
  </si>
  <si>
    <t>Vl. Activa - vrd / VVK</t>
  </si>
  <si>
    <t>Cash ratio</t>
  </si>
  <si>
    <t>LM / VVK</t>
  </si>
  <si>
    <t>SOLVABILITEIT</t>
  </si>
  <si>
    <t>EV / TV</t>
  </si>
  <si>
    <t>Voorraden</t>
  </si>
  <si>
    <t>looptijd = (gem voorraad / inkoopw) x 365 dagen</t>
  </si>
  <si>
    <t>Debiteuren</t>
  </si>
  <si>
    <t>looptijd = (gem handelsdebiteuren / omzet) x 365 dagen</t>
  </si>
  <si>
    <t>Crediteuren</t>
  </si>
  <si>
    <t>looptijd = (gem handelscrediteuren / inkoopw) x 365 dagen</t>
  </si>
  <si>
    <t>Stock-to-Fulfill proces</t>
  </si>
  <si>
    <t>Days inventory on-hand (DIO)</t>
  </si>
  <si>
    <t>Order-to-Cash proces</t>
  </si>
  <si>
    <t>Days of Sales Outstanding (DSO)</t>
  </si>
  <si>
    <t xml:space="preserve">Purchase-to-Pay proces </t>
  </si>
  <si>
    <t>Days of Payables Outstanding (DPO)</t>
  </si>
  <si>
    <t>Cash Conversion Cycle</t>
  </si>
  <si>
    <t>Bruto werkkapitaal</t>
  </si>
  <si>
    <t>Vlottende Activa (VLA)</t>
  </si>
  <si>
    <t>VLA - VVK</t>
  </si>
  <si>
    <t>Net Treasury</t>
  </si>
  <si>
    <t>NWK &gt; 0</t>
  </si>
  <si>
    <t>NWK &lt; 0</t>
  </si>
  <si>
    <t>Werkkapitaal (€ 1.000)</t>
  </si>
  <si>
    <t>Aandelenvermogen</t>
  </si>
  <si>
    <t>Bene Vale BV: Resultatenrekening (€ 1.000)</t>
  </si>
  <si>
    <t>Bruto Omzet</t>
  </si>
  <si>
    <t>Kortingen</t>
  </si>
  <si>
    <t>Vl. Activa / VVK (= Bruto Werkkapitaal Ratio)</t>
  </si>
  <si>
    <t>Norm</t>
  </si>
  <si>
    <t>&gt; 1,3</t>
  </si>
  <si>
    <t>&gt; 1,0</t>
  </si>
  <si>
    <t>Netto omzet</t>
  </si>
  <si>
    <t>Kosten verkoop, admin, directie</t>
  </si>
  <si>
    <t>Bedrijfsresultaat voor afschrijving (EbITDA)</t>
  </si>
  <si>
    <t>Afschrijvingen en amortisatie</t>
  </si>
  <si>
    <t>VASTE ACTIVA</t>
  </si>
  <si>
    <t>MATERIËLE VASTE ACTIVA</t>
  </si>
  <si>
    <t>Terreinen</t>
  </si>
  <si>
    <t>Machines en installaties</t>
  </si>
  <si>
    <t>Inventaris</t>
  </si>
  <si>
    <t>Gebouwen en verbouwingen</t>
  </si>
  <si>
    <t>Transportmiddelen</t>
  </si>
  <si>
    <t>Voorraden gereed product</t>
  </si>
  <si>
    <t>Vooruitbetaald op levering vrd.</t>
  </si>
  <si>
    <t>Overlopende activa</t>
  </si>
  <si>
    <t>VLOTTENDE ACTIVA</t>
  </si>
  <si>
    <t>EIGEN VERMOGEN</t>
  </si>
  <si>
    <t>VOORZIENINGEN</t>
  </si>
  <si>
    <t>Reorganisatievoorziening</t>
  </si>
  <si>
    <t>Hypothecaire lening</t>
  </si>
  <si>
    <t>Achtergestelde lening</t>
  </si>
  <si>
    <t>Pensioenvoorziening directie</t>
  </si>
  <si>
    <t>LANGLOPENDE SCHULDEN (voor zover &gt; 1 jaar)</t>
  </si>
  <si>
    <t>KORTLOPENDE SCHULDEN</t>
  </si>
  <si>
    <t>Aflossingsverplichting Hyp.</t>
  </si>
  <si>
    <t>Mutatie winstreserve</t>
  </si>
  <si>
    <t>Te betalen belastingen</t>
  </si>
  <si>
    <t>Te betalen dividenden</t>
  </si>
  <si>
    <t>Winstbestemming</t>
  </si>
  <si>
    <t>Uitkeringspercentage (zie staffel)</t>
  </si>
  <si>
    <t>Winstreserve</t>
  </si>
  <si>
    <t>Financial Cushion</t>
  </si>
  <si>
    <t>Gross Working Capital</t>
  </si>
  <si>
    <t>Net Working Capital</t>
  </si>
  <si>
    <t>ICR: Interest Coverage Ratio</t>
  </si>
  <si>
    <t>EBIT / Interest Expenses</t>
  </si>
  <si>
    <t>EBITDA / Interest Expenses</t>
  </si>
  <si>
    <t>Equity Ratio</t>
  </si>
  <si>
    <t>Debt Ratio</t>
  </si>
  <si>
    <t>ST Debt Ratio</t>
  </si>
  <si>
    <t>VVK / TV</t>
  </si>
  <si>
    <t>VV / TV</t>
  </si>
  <si>
    <t>&gt; 20%, &gt; 40%</t>
  </si>
  <si>
    <t>&lt; 80%, &lt; 60%</t>
  </si>
  <si>
    <t>&lt; 30%</t>
  </si>
  <si>
    <t>+ Afschrijvingen MVA (depreciation)</t>
  </si>
  <si>
    <t>Bene Vale BV: Balans per ultimo na winstverdeling (€ 1.000)</t>
  </si>
  <si>
    <t>± Δ Vooruitbetalingen aan leveranciers</t>
  </si>
  <si>
    <t>± Δ Voorraden grond- en hulpstoffen</t>
  </si>
  <si>
    <t>± Δ Voorraden gereed product</t>
  </si>
  <si>
    <t>± Δ Handelsdebiteuren</t>
  </si>
  <si>
    <t>± Δ Overlopende activa</t>
  </si>
  <si>
    <t>± Δ Handelscrediteuren</t>
  </si>
  <si>
    <t>± Δ Te betalen belastingen &amp; soc. premies</t>
  </si>
  <si>
    <t>Kredietinstellingen (RC &lt; 6 mln)</t>
  </si>
  <si>
    <t>&gt; 0</t>
  </si>
  <si>
    <t>Overige kosten</t>
  </si>
  <si>
    <t>(minimum &gt; 1,5  /  good &gt; 5)</t>
  </si>
  <si>
    <t>(minimum &gt; 3  /  good &gt; 5  /  top &gt; 7)</t>
  </si>
  <si>
    <t>TIER: Times Intrest Earned Ratio</t>
  </si>
  <si>
    <t>EBIT</t>
  </si>
  <si>
    <t>+ Afschrijvingen MVA (D)</t>
  </si>
  <si>
    <t>+ Afschrijvingen IVA (A)</t>
  </si>
  <si>
    <t>Belasting 25% (Tax)</t>
  </si>
  <si>
    <t>i-NWK &gt; 0</t>
  </si>
  <si>
    <t>i-NWK &lt; 0</t>
  </si>
  <si>
    <t>IMMATERIËLE VASTE ACTIVA</t>
  </si>
  <si>
    <t>FINANCIËLE VASTE ACTIVA</t>
  </si>
  <si>
    <t>Autonoom NWK</t>
  </si>
  <si>
    <t>BWK</t>
  </si>
  <si>
    <t>NWK</t>
  </si>
  <si>
    <t>A-NWK</t>
  </si>
  <si>
    <t>i-NWK</t>
  </si>
  <si>
    <t>LM + Geldbeleggingen</t>
  </si>
  <si>
    <t>Cash Cushion</t>
  </si>
  <si>
    <t>CaCu</t>
  </si>
  <si>
    <t>CaCu - Financiële schulden</t>
  </si>
  <si>
    <t>(VLA - CaCu) - (VVK - financiële schulden)</t>
  </si>
  <si>
    <r>
      <rPr>
        <b/>
        <sz val="18"/>
        <rFont val="Symbol"/>
        <family val="1"/>
        <charset val="2"/>
      </rPr>
      <t>\</t>
    </r>
    <r>
      <rPr>
        <b/>
        <sz val="18"/>
        <rFont val="Arial"/>
        <family val="2"/>
      </rPr>
      <t xml:space="preserve"> A-NWK &gt; 0
+ +</t>
    </r>
  </si>
  <si>
    <t>A-NWK &gt; 0:  +</t>
  </si>
  <si>
    <t>A-NWK &lt; 0:  -/-</t>
  </si>
  <si>
    <r>
      <rPr>
        <b/>
        <sz val="18"/>
        <rFont val="Symbol"/>
        <family val="1"/>
        <charset val="2"/>
      </rPr>
      <t>\</t>
    </r>
    <r>
      <rPr>
        <b/>
        <sz val="18"/>
        <rFont val="Arial"/>
        <family val="2"/>
      </rPr>
      <t xml:space="preserve"> A-NWK &lt; 0
-/-  -/-</t>
    </r>
  </si>
  <si>
    <r>
      <rPr>
        <b/>
        <sz val="18"/>
        <rFont val="Symbol"/>
        <family val="1"/>
        <charset val="2"/>
      </rPr>
      <t>\</t>
    </r>
    <r>
      <rPr>
        <b/>
        <sz val="16"/>
        <rFont val="Arial"/>
        <family val="2"/>
      </rPr>
      <t xml:space="preserve"> A-NWK &gt; 0
+ +</t>
    </r>
  </si>
  <si>
    <r>
      <rPr>
        <b/>
        <sz val="18"/>
        <rFont val="Symbol"/>
        <family val="1"/>
        <charset val="2"/>
      </rPr>
      <t>\</t>
    </r>
    <r>
      <rPr>
        <b/>
        <sz val="16"/>
        <rFont val="Arial"/>
        <family val="2"/>
      </rPr>
      <t xml:space="preserve"> A-NWK &lt; 0
-/-  -/-</t>
    </r>
  </si>
  <si>
    <t>Operationele Cash Buffer</t>
  </si>
  <si>
    <t>&gt;</t>
  </si>
  <si>
    <t>2% x Netto Omzet</t>
  </si>
  <si>
    <t>1/12 x Netto Omzet</t>
  </si>
  <si>
    <t>20% x Vreemd Vermogen Kort</t>
  </si>
  <si>
    <t>CaCu nr. 1</t>
  </si>
  <si>
    <t>CaCu nr. 2</t>
  </si>
  <si>
    <t>CaCu nr. 3</t>
  </si>
  <si>
    <t>CaCu nr. 4</t>
  </si>
  <si>
    <t>Cash Cushion (CaCu): operationele cash buffer</t>
  </si>
  <si>
    <t>Werkkelijk CaCu</t>
  </si>
  <si>
    <t>Drempelwaarde CaCu</t>
  </si>
  <si>
    <t>Overschot of tekort</t>
  </si>
  <si>
    <t>looptijd = (gem voorraad OHW / inkoopw) x 365 dagen</t>
  </si>
  <si>
    <t>Voorraden Onderhanden Werk</t>
  </si>
  <si>
    <t>Production-to-Stock proces</t>
  </si>
  <si>
    <t>Days Work in Progress on-hand (DWO)</t>
  </si>
  <si>
    <t>DWC = DIO + DWO + DSO - DPO</t>
  </si>
  <si>
    <t>Cash Conversion Cycle (CCC) = Days Working Capital (DWC)</t>
  </si>
  <si>
    <t>CCC (= DWC)</t>
  </si>
  <si>
    <t>DWC x Kostprijs Omzet / 365</t>
  </si>
  <si>
    <t>(DIO+DWO+DSO-DPO) x Kp. Omzet / 365</t>
  </si>
  <si>
    <t>&gt; 0,2</t>
  </si>
  <si>
    <t>&lt;</t>
  </si>
  <si>
    <t>(Vrd+OHW+Deb) - (Crediteuren)</t>
  </si>
  <si>
    <t>Induced NWC</t>
  </si>
  <si>
    <t>Trade NWC</t>
  </si>
  <si>
    <t>&lt; 0</t>
  </si>
  <si>
    <t>Inherent NWK</t>
  </si>
  <si>
    <t xml:space="preserve">ACTIVITEITEN RATIO'S </t>
  </si>
  <si>
    <t>Bedrijfsresultaat (EBIT)</t>
  </si>
  <si>
    <t>Resultaat voor belastingen (EBT)</t>
  </si>
  <si>
    <t>Resultaat na belasting (EAT)</t>
  </si>
  <si>
    <t>OCF Proxies</t>
  </si>
  <si>
    <t>EBITDA (= OCF proxy)</t>
  </si>
  <si>
    <t>Cashflow op winstbasis (= OCF proxy)</t>
  </si>
  <si>
    <t>-  Dividend uitkeringspercentages  -</t>
  </si>
  <si>
    <t>Uit te keren dividenden</t>
  </si>
  <si>
    <t>ctrl.</t>
  </si>
  <si>
    <t>Ctrl.</t>
  </si>
  <si>
    <t>Gereserveerde winst</t>
  </si>
  <si>
    <t>Staffel Nettowinst (EUR 1.000)</t>
  </si>
  <si>
    <t>Te bestemmen winst (NE)</t>
  </si>
  <si>
    <t>Bene Vale BV: OCF (€ 1.000)</t>
  </si>
  <si>
    <t>+ Afschrijvingen IVA (amortization)</t>
  </si>
  <si>
    <t>Cashflow op winstbasis  (= OCF proxy)</t>
  </si>
  <si>
    <t>Voorraden grond- &amp; hulpstoffen</t>
  </si>
  <si>
    <t>OCF (CF uit bedrijfsoperaties)</t>
  </si>
  <si>
    <t>Werkkapitaalratio's</t>
  </si>
  <si>
    <t>Netto Werkkapitaalratio</t>
  </si>
  <si>
    <t>Netto Werkkapitaal / Totale Activa</t>
  </si>
  <si>
    <t>&gt; 0,3</t>
  </si>
  <si>
    <t>&gt; 0,0</t>
  </si>
  <si>
    <t>(= Current ratio -1)</t>
  </si>
  <si>
    <t>Working Capital ratio Altman</t>
  </si>
  <si>
    <t>(= Net Working Capital to Total Assets)</t>
  </si>
  <si>
    <t>Cash Cushion - Financiële leningen KT</t>
  </si>
  <si>
    <t>inherent NWK</t>
  </si>
  <si>
    <t>Inherente VLA  -/-  Inherent VVK</t>
  </si>
  <si>
    <t>Operationeel NWK</t>
  </si>
  <si>
    <t>Vrd + Vrd OHW + Debiteuren - Crediteuren</t>
  </si>
  <si>
    <t>Dood Werkkapitaal: zichtbaar</t>
  </si>
  <si>
    <t>Zichtbaar dood Werkkap.</t>
  </si>
  <si>
    <t>+</t>
  </si>
  <si>
    <t>Vooruitbetalingen op voorraden</t>
  </si>
  <si>
    <t>Bestellingen in uitvoering</t>
  </si>
  <si>
    <t>Overlopende rekeningen</t>
  </si>
  <si>
    <t>Totaal zichtbaar dood werkkapitaal</t>
  </si>
  <si>
    <t>Uitzondering op deze definitie is de post 'ongefactureerde omzet'; deze post wordt ook wel de 'hidden DSO' genoemd.</t>
  </si>
  <si>
    <t>Dood Werkkapitaal: onzichtbaar</t>
  </si>
  <si>
    <t>Onzichtbaar dood werkkapitaal in voorraden</t>
  </si>
  <si>
    <t>Gemiddelde voorraad grondstoffen, hulpstoffen en gereed product (EUR)</t>
  </si>
  <si>
    <t>Gemiddelde omlooptijd voorraad grondstoffen, hulpstoffen en gereed product (DIO)</t>
  </si>
  <si>
    <t>Maximale normatieve omlooptijd voorraden in branche</t>
  </si>
  <si>
    <t>Voorraadoverschot uitgedrukt in DIO</t>
  </si>
  <si>
    <t>Voorraadoverschot uitgedrukt in EUR (onzichtbaar dood)</t>
  </si>
  <si>
    <t>Onzichtbaar dood werkkapitaal in voorraden in bewerking (= OHW)</t>
  </si>
  <si>
    <t>Gemiddelde voorraad in bewerking (EUR)</t>
  </si>
  <si>
    <t>Gemiddelde omlooptijd voorraad voorraad in bewerking (DWO)</t>
  </si>
  <si>
    <t>Maximale normatieve omlooptijd voorraden OHW in branche</t>
  </si>
  <si>
    <t>Voorraadoverschot uitgedrukt in DWO</t>
  </si>
  <si>
    <t>Onzichtbaar dood werkkapitaal in handelsdebiteuren (géén overige vorderingen)</t>
  </si>
  <si>
    <t>Gemiddelde handelsdebiteuren (EUR)</t>
  </si>
  <si>
    <t>Omzetsnelheid vorderingen (DSO)</t>
  </si>
  <si>
    <t>Maximale normatieve omzetsnelheid vorderingen wet/norm</t>
  </si>
  <si>
    <t>Vorderingen overschot uitgedrukt in DSO</t>
  </si>
  <si>
    <t>Vorderingen overschot uitgedrukt in EUR (onzichtbaar dood)</t>
  </si>
  <si>
    <t>Totaal onzichtbaar (= verborgen) dood werkkapitaal</t>
  </si>
  <si>
    <t>Bene Vale BV</t>
  </si>
  <si>
    <t>Opertioneel i-NWK</t>
  </si>
  <si>
    <t>O i-NWK</t>
  </si>
  <si>
    <t>'Dood werkkapitaal' is inherent werkkapitaal dat niet direct kan worden aangewend of omgezet in een andere inherente en/of autonome post.</t>
  </si>
  <si>
    <t>INTREST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</si>
</sst>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5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8"/>
      <name val="Symbol"/>
      <family val="1"/>
      <charset val="2"/>
    </font>
    <font>
      <u/>
      <sz val="10"/>
      <name val="Arial"/>
      <family val="2"/>
    </font>
    <font>
      <sz val="8"/>
      <color rgb="FFFF0000"/>
      <name val="Arial"/>
      <family val="2"/>
    </font>
    <font>
      <b/>
      <sz val="18"/>
      <name val="Arial"/>
      <family val="1"/>
      <charset val="2"/>
    </font>
    <font>
      <b/>
      <sz val="18"/>
      <name val="Arial"/>
      <family val="2"/>
    </font>
    <font>
      <b/>
      <sz val="16"/>
      <name val="Arial"/>
      <family val="1"/>
      <charset val="2"/>
    </font>
    <font>
      <i/>
      <sz val="1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4" fillId="0" borderId="0"/>
  </cellStyleXfs>
  <cellXfs count="421">
    <xf numFmtId="0" fontId="0" fillId="0" borderId="0" xfId="0"/>
    <xf numFmtId="3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Border="1" applyAlignment="1">
      <alignment horizontal="left" vertical="center"/>
    </xf>
    <xf numFmtId="1" fontId="2" fillId="2" borderId="6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12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horizontal="left" vertical="center"/>
    </xf>
    <xf numFmtId="3" fontId="3" fillId="2" borderId="6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/>
    </xf>
    <xf numFmtId="3" fontId="7" fillId="2" borderId="0" xfId="0" applyNumberFormat="1" applyFont="1" applyFill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left" vertical="center"/>
    </xf>
    <xf numFmtId="3" fontId="7" fillId="2" borderId="0" xfId="0" applyNumberFormat="1" applyFont="1" applyFill="1" applyAlignment="1">
      <alignment horizontal="left" vertical="center"/>
    </xf>
    <xf numFmtId="3" fontId="3" fillId="2" borderId="6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3" fontId="3" fillId="2" borderId="6" xfId="0" quotePrefix="1" applyNumberFormat="1" applyFont="1" applyFill="1" applyBorder="1" applyAlignment="1">
      <alignment horizontal="right" vertical="center"/>
    </xf>
    <xf numFmtId="3" fontId="16" fillId="2" borderId="0" xfId="0" applyNumberFormat="1" applyFont="1" applyFill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>
      <alignment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1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6" xfId="0" quotePrefix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left" vertical="center"/>
    </xf>
    <xf numFmtId="165" fontId="4" fillId="2" borderId="1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left" vertical="center"/>
    </xf>
    <xf numFmtId="165" fontId="4" fillId="2" borderId="0" xfId="0" quotePrefix="1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5" fontId="4" fillId="2" borderId="10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4" fontId="0" fillId="2" borderId="10" xfId="0" applyNumberForma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0" fontId="4" fillId="2" borderId="0" xfId="0" quotePrefix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3" fontId="0" fillId="2" borderId="6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0" xfId="0" quotePrefix="1" applyNumberFormat="1" applyFont="1" applyFill="1" applyBorder="1" applyAlignment="1">
      <alignment horizontal="right" vertical="center"/>
    </xf>
    <xf numFmtId="3" fontId="0" fillId="2" borderId="6" xfId="0" applyNumberForma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3" fontId="16" fillId="2" borderId="16" xfId="0" applyNumberFormat="1" applyFont="1" applyFill="1" applyBorder="1" applyAlignment="1">
      <alignment horizontal="left" vertical="center"/>
    </xf>
    <xf numFmtId="3" fontId="16" fillId="2" borderId="16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9" fontId="3" fillId="2" borderId="0" xfId="0" applyNumberFormat="1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3" fontId="19" fillId="2" borderId="0" xfId="0" applyNumberFormat="1" applyFont="1" applyFill="1" applyAlignment="1">
      <alignment horizontal="left" vertical="center"/>
    </xf>
    <xf numFmtId="3" fontId="19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1" fontId="11" fillId="4" borderId="2" xfId="0" applyNumberFormat="1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3" fontId="3" fillId="2" borderId="0" xfId="0" quotePrefix="1" applyNumberFormat="1" applyFont="1" applyFill="1" applyAlignment="1">
      <alignment horizontal="right" vertical="center"/>
    </xf>
    <xf numFmtId="1" fontId="5" fillId="2" borderId="6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0" fillId="2" borderId="20" xfId="0" applyNumberFormat="1" applyFill="1" applyBorder="1" applyAlignment="1">
      <alignment horizontal="right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5" fontId="1" fillId="2" borderId="1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" fontId="11" fillId="4" borderId="3" xfId="0" applyNumberFormat="1" applyFont="1" applyFill="1" applyBorder="1" applyAlignment="1">
      <alignment horizontal="right" vertical="center"/>
    </xf>
    <xf numFmtId="1" fontId="11" fillId="4" borderId="2" xfId="0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6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right" vertical="center"/>
    </xf>
    <xf numFmtId="165" fontId="5" fillId="2" borderId="10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horizontal="left" vertical="center"/>
    </xf>
    <xf numFmtId="165" fontId="5" fillId="2" borderId="8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left" vertical="center"/>
    </xf>
    <xf numFmtId="165" fontId="1" fillId="2" borderId="8" xfId="0" applyNumberFormat="1" applyFont="1" applyFill="1" applyBorder="1" applyAlignment="1">
      <alignment horizontal="right" vertical="center"/>
    </xf>
    <xf numFmtId="165" fontId="1" fillId="2" borderId="9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vertical="center"/>
    </xf>
    <xf numFmtId="165" fontId="1" fillId="2" borderId="4" xfId="0" applyNumberFormat="1" applyFont="1" applyFill="1" applyBorder="1" applyAlignment="1">
      <alignment vertical="center"/>
    </xf>
    <xf numFmtId="165" fontId="18" fillId="2" borderId="0" xfId="0" quotePrefix="1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5" fillId="2" borderId="4" xfId="0" applyNumberFormat="1" applyFont="1" applyFill="1" applyBorder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left" vertical="center"/>
    </xf>
    <xf numFmtId="165" fontId="1" fillId="2" borderId="0" xfId="0" quotePrefix="1" applyNumberFormat="1" applyFont="1" applyFill="1" applyAlignment="1">
      <alignment horizontal="right" vertical="center"/>
    </xf>
    <xf numFmtId="165" fontId="5" fillId="2" borderId="5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left" vertical="center"/>
    </xf>
    <xf numFmtId="165" fontId="5" fillId="2" borderId="11" xfId="0" applyNumberFormat="1" applyFont="1" applyFill="1" applyBorder="1" applyAlignment="1">
      <alignment horizontal="right" vertical="center"/>
    </xf>
    <xf numFmtId="165" fontId="1" fillId="2" borderId="6" xfId="0" quotePrefix="1" applyNumberFormat="1" applyFont="1" applyFill="1" applyBorder="1" applyAlignment="1">
      <alignment horizontal="right" vertical="center"/>
    </xf>
    <xf numFmtId="165" fontId="5" fillId="2" borderId="0" xfId="0" quotePrefix="1" applyNumberFormat="1" applyFont="1" applyFill="1" applyAlignment="1">
      <alignment horizontal="right" vertical="center"/>
    </xf>
    <xf numFmtId="0" fontId="11" fillId="4" borderId="7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right" vertical="center"/>
    </xf>
    <xf numFmtId="1" fontId="11" fillId="4" borderId="8" xfId="0" applyNumberFormat="1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3" fontId="4" fillId="2" borderId="0" xfId="0" quotePrefix="1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1" fillId="2" borderId="0" xfId="0" quotePrefix="1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9" fontId="4" fillId="2" borderId="0" xfId="0" applyNumberFormat="1" applyFont="1" applyFill="1" applyAlignment="1">
      <alignment horizontal="right" vertical="center"/>
    </xf>
    <xf numFmtId="9" fontId="4" fillId="2" borderId="0" xfId="0" applyNumberFormat="1" applyFont="1" applyFill="1" applyBorder="1" applyAlignment="1">
      <alignment horizontal="right" vertical="center"/>
    </xf>
    <xf numFmtId="0" fontId="8" fillId="4" borderId="1" xfId="0" applyNumberFormat="1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vertical="center"/>
    </xf>
    <xf numFmtId="1" fontId="8" fillId="4" borderId="2" xfId="0" applyNumberFormat="1" applyFont="1" applyFill="1" applyBorder="1" applyAlignment="1">
      <alignment vertical="center"/>
    </xf>
    <xf numFmtId="3" fontId="16" fillId="2" borderId="16" xfId="0" applyNumberFormat="1" applyFont="1" applyFill="1" applyBorder="1" applyAlignment="1">
      <alignment horizontal="center" vertical="center"/>
    </xf>
    <xf numFmtId="0" fontId="5" fillId="2" borderId="15" xfId="0" quotePrefix="1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 textRotation="90" wrapText="1"/>
    </xf>
    <xf numFmtId="0" fontId="13" fillId="7" borderId="18" xfId="0" applyFont="1" applyFill="1" applyBorder="1" applyAlignment="1">
      <alignment horizontal="center" vertical="center" textRotation="90" wrapText="1"/>
    </xf>
    <xf numFmtId="0" fontId="13" fillId="7" borderId="19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vertical="center"/>
    </xf>
    <xf numFmtId="3" fontId="1" fillId="4" borderId="0" xfId="0" applyNumberFormat="1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center" vertical="center"/>
    </xf>
    <xf numFmtId="9" fontId="4" fillId="4" borderId="0" xfId="0" applyNumberFormat="1" applyFont="1" applyFill="1" applyAlignment="1">
      <alignment horizontal="right" vertical="center"/>
    </xf>
    <xf numFmtId="0" fontId="5" fillId="4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3" fontId="19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/>
    </xf>
    <xf numFmtId="164" fontId="23" fillId="2" borderId="0" xfId="0" applyNumberFormat="1" applyFont="1" applyFill="1" applyBorder="1" applyAlignment="1">
      <alignment vertical="center"/>
    </xf>
    <xf numFmtId="164" fontId="23" fillId="2" borderId="0" xfId="0" applyNumberFormat="1" applyFont="1" applyFill="1" applyBorder="1" applyAlignment="1">
      <alignment horizontal="left" vertical="center"/>
    </xf>
    <xf numFmtId="9" fontId="23" fillId="2" borderId="0" xfId="0" applyNumberFormat="1" applyFont="1" applyFill="1" applyBorder="1" applyAlignment="1">
      <alignment horizontal="right" vertical="center"/>
    </xf>
    <xf numFmtId="0" fontId="1" fillId="4" borderId="6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center" vertical="center"/>
    </xf>
    <xf numFmtId="9" fontId="4" fillId="4" borderId="6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horizontal="right" vertical="center"/>
    </xf>
    <xf numFmtId="2" fontId="4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center" vertical="center"/>
    </xf>
    <xf numFmtId="2" fontId="23" fillId="2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2" fontId="19" fillId="2" borderId="0" xfId="0" applyNumberFormat="1" applyFont="1" applyFill="1" applyBorder="1" applyAlignment="1">
      <alignment vertical="center"/>
    </xf>
    <xf numFmtId="2" fontId="19" fillId="2" borderId="0" xfId="0" applyNumberFormat="1" applyFont="1" applyFill="1" applyAlignment="1">
      <alignment vertical="center"/>
    </xf>
    <xf numFmtId="2" fontId="5" fillId="2" borderId="0" xfId="0" applyNumberFormat="1" applyFont="1" applyFill="1" applyBorder="1" applyAlignment="1">
      <alignment horizontal="right" vertical="center"/>
    </xf>
    <xf numFmtId="0" fontId="11" fillId="8" borderId="1" xfId="0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0" fontId="11" fillId="8" borderId="2" xfId="0" applyFont="1" applyFill="1" applyBorder="1" applyAlignment="1">
      <alignment horizontal="center" vertical="center"/>
    </xf>
    <xf numFmtId="3" fontId="11" fillId="8" borderId="2" xfId="0" applyNumberFormat="1" applyFont="1" applyFill="1" applyBorder="1" applyAlignment="1">
      <alignment vertical="center"/>
    </xf>
    <xf numFmtId="1" fontId="11" fillId="8" borderId="2" xfId="0" applyNumberFormat="1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2" borderId="10" xfId="0" applyFont="1" applyFill="1" applyBorder="1" applyAlignment="1">
      <alignment vertical="center"/>
    </xf>
    <xf numFmtId="3" fontId="1" fillId="2" borderId="20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0" fontId="11" fillId="9" borderId="2" xfId="0" applyFont="1" applyFill="1" applyBorder="1" applyAlignment="1">
      <alignment horizontal="center" vertical="center"/>
    </xf>
    <xf numFmtId="3" fontId="11" fillId="9" borderId="2" xfId="0" applyNumberFormat="1" applyFont="1" applyFill="1" applyBorder="1" applyAlignment="1">
      <alignment vertical="center"/>
    </xf>
    <xf numFmtId="1" fontId="11" fillId="9" borderId="2" xfId="0" applyNumberFormat="1" applyFont="1" applyFill="1" applyBorder="1" applyAlignment="1">
      <alignment vertical="center"/>
    </xf>
    <xf numFmtId="0" fontId="11" fillId="9" borderId="3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1" fontId="11" fillId="2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0" xfId="0" quotePrefix="1" applyNumberFormat="1" applyFont="1" applyFill="1" applyAlignment="1">
      <alignment horizontal="center" vertical="center"/>
    </xf>
    <xf numFmtId="3" fontId="1" fillId="2" borderId="10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2" xfId="0" quotePrefix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1" fillId="2" borderId="0" xfId="0" quotePrefix="1" applyNumberFormat="1" applyFont="1" applyFill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0" fontId="8" fillId="9" borderId="2" xfId="0" applyFont="1" applyFill="1" applyBorder="1" applyAlignment="1">
      <alignment horizontal="center" vertical="center"/>
    </xf>
    <xf numFmtId="1" fontId="8" fillId="9" borderId="2" xfId="0" applyNumberFormat="1" applyFont="1" applyFill="1" applyBorder="1" applyAlignment="1">
      <alignment horizontal="right" vertical="center"/>
    </xf>
    <xf numFmtId="0" fontId="8" fillId="9" borderId="2" xfId="0" applyFont="1" applyFill="1" applyBorder="1" applyAlignment="1">
      <alignment horizontal="right" vertical="center"/>
    </xf>
    <xf numFmtId="0" fontId="8" fillId="9" borderId="3" xfId="0" applyFont="1" applyFill="1" applyBorder="1" applyAlignment="1">
      <alignment horizontal="right" vertical="center"/>
    </xf>
    <xf numFmtId="1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165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horizontal="right" vertical="center"/>
    </xf>
    <xf numFmtId="165" fontId="0" fillId="0" borderId="0" xfId="0" applyNumberFormat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3" fontId="0" fillId="2" borderId="1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horizontal="right" vertical="center"/>
    </xf>
    <xf numFmtId="0" fontId="1" fillId="2" borderId="6" xfId="0" quotePrefix="1" applyFont="1" applyFill="1" applyBorder="1" applyAlignment="1">
      <alignment vertical="center"/>
    </xf>
  </cellXfs>
  <cellStyles count="2">
    <cellStyle name="Standaard" xfId="0" builtinId="0"/>
    <cellStyle name="Standaard 2" xfId="1" xr:uid="{00000000-0005-0000-0000-000002000000}"/>
  </cellStyles>
  <dxfs count="7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theme="6" tint="0.39997558519241921"/>
  </sheetPr>
  <dimension ref="B1:AE28"/>
  <sheetViews>
    <sheetView tabSelected="1" zoomScale="130" zoomScaleNormal="130" workbookViewId="0">
      <selection activeCell="R17" sqref="R17"/>
    </sheetView>
  </sheetViews>
  <sheetFormatPr defaultRowHeight="15" customHeight="1"/>
  <cols>
    <col min="1" max="1" width="1.7109375" style="7" customWidth="1"/>
    <col min="2" max="2" width="22.7109375" style="12" customWidth="1"/>
    <col min="3" max="3" width="8.7109375" style="9" customWidth="1"/>
    <col min="4" max="4" width="1.7109375" style="9" customWidth="1"/>
    <col min="5" max="5" width="8.7109375" style="9" customWidth="1"/>
    <col min="6" max="6" width="1.7109375" style="9" customWidth="1"/>
    <col min="7" max="7" width="8.7109375" style="9" customWidth="1"/>
    <col min="8" max="8" width="1.7109375" style="9" customWidth="1"/>
    <col min="9" max="9" width="8.7109375" style="9" customWidth="1"/>
    <col min="10" max="11" width="1.7109375" style="7" customWidth="1"/>
    <col min="12" max="12" width="22.7109375" style="12" customWidth="1"/>
    <col min="13" max="13" width="8.7109375" style="9" customWidth="1"/>
    <col min="14" max="14" width="1.7109375" style="9" customWidth="1"/>
    <col min="15" max="15" width="9.140625" style="9"/>
    <col min="16" max="16" width="1.7109375" style="9" customWidth="1"/>
    <col min="17" max="17" width="8.7109375" style="9" customWidth="1"/>
    <col min="18" max="18" width="1.7109375" style="9" customWidth="1"/>
    <col min="19" max="19" width="8.7109375" style="9" customWidth="1"/>
    <col min="20" max="20" width="1.7109375" style="7" customWidth="1"/>
    <col min="21" max="23" width="9.140625" style="7"/>
    <col min="24" max="24" width="1.7109375" style="7" customWidth="1"/>
    <col min="25" max="25" width="9.140625" style="7"/>
    <col min="26" max="26" width="1.7109375" style="7" customWidth="1"/>
    <col min="27" max="27" width="9.140625" style="7"/>
    <col min="28" max="28" width="1.7109375" style="7" customWidth="1"/>
    <col min="29" max="16384" width="9.140625" style="7"/>
  </cols>
  <sheetData>
    <row r="1" spans="2:31" s="54" customFormat="1" ht="30" customHeight="1" thickBot="1">
      <c r="B1" s="154" t="s">
        <v>14</v>
      </c>
      <c r="C1" s="155"/>
      <c r="D1" s="155"/>
      <c r="E1" s="288" t="s">
        <v>100</v>
      </c>
      <c r="F1" s="288"/>
      <c r="G1" s="288"/>
      <c r="H1" s="288"/>
      <c r="I1" s="288"/>
      <c r="J1" s="288"/>
      <c r="K1" s="288"/>
      <c r="L1" s="288"/>
      <c r="M1" s="288"/>
      <c r="N1" s="155"/>
      <c r="O1" s="155"/>
      <c r="P1" s="155"/>
      <c r="Q1" s="155"/>
      <c r="R1" s="155"/>
      <c r="S1" s="155" t="s">
        <v>15</v>
      </c>
    </row>
    <row r="2" spans="2:31" s="2" customFormat="1" ht="15" customHeight="1">
      <c r="B2" s="3"/>
      <c r="C2" s="4">
        <v>2020</v>
      </c>
      <c r="D2" s="5"/>
      <c r="E2" s="4">
        <v>2019</v>
      </c>
      <c r="F2" s="5"/>
      <c r="G2" s="4">
        <v>2018</v>
      </c>
      <c r="H2" s="5"/>
      <c r="I2" s="4">
        <v>2017</v>
      </c>
      <c r="K2" s="6"/>
      <c r="L2" s="3"/>
      <c r="M2" s="4">
        <f>C2</f>
        <v>2020</v>
      </c>
      <c r="N2" s="5"/>
      <c r="O2" s="4">
        <f t="shared" ref="O2" si="0">E2</f>
        <v>2019</v>
      </c>
      <c r="P2" s="5"/>
      <c r="Q2" s="4">
        <f t="shared" ref="Q2" si="1">G2</f>
        <v>2018</v>
      </c>
      <c r="R2" s="5"/>
      <c r="S2" s="4">
        <f t="shared" ref="S2" si="2">I2</f>
        <v>2017</v>
      </c>
    </row>
    <row r="3" spans="2:31" ht="15" customHeight="1">
      <c r="B3" s="8" t="s">
        <v>59</v>
      </c>
      <c r="D3" s="10"/>
      <c r="F3" s="10"/>
      <c r="H3" s="10"/>
      <c r="K3" s="11"/>
      <c r="L3" s="8" t="s">
        <v>70</v>
      </c>
      <c r="N3" s="10"/>
      <c r="P3" s="10"/>
      <c r="R3" s="10"/>
    </row>
    <row r="4" spans="2:31" ht="15" customHeight="1">
      <c r="B4" s="12" t="s">
        <v>120</v>
      </c>
      <c r="C4" s="173" t="s">
        <v>4</v>
      </c>
      <c r="E4" s="173" t="s">
        <v>4</v>
      </c>
      <c r="G4" s="173" t="s">
        <v>4</v>
      </c>
      <c r="I4" s="173" t="s">
        <v>4</v>
      </c>
      <c r="K4" s="11"/>
      <c r="L4" s="12" t="s">
        <v>47</v>
      </c>
      <c r="M4" s="9">
        <v>100</v>
      </c>
      <c r="O4" s="9">
        <v>100</v>
      </c>
      <c r="Q4" s="9">
        <v>100</v>
      </c>
      <c r="S4" s="9">
        <v>100</v>
      </c>
    </row>
    <row r="5" spans="2:31" ht="15" customHeight="1">
      <c r="B5" s="12" t="s">
        <v>60</v>
      </c>
      <c r="C5" s="10"/>
      <c r="D5" s="10"/>
      <c r="E5" s="10"/>
      <c r="F5" s="10"/>
      <c r="G5" s="10"/>
      <c r="H5" s="10"/>
      <c r="I5" s="10"/>
      <c r="K5" s="11"/>
      <c r="L5" s="12" t="s">
        <v>84</v>
      </c>
      <c r="M5" s="13">
        <f>O5+'V&amp;W'!E37</f>
        <v>9280</v>
      </c>
      <c r="O5" s="13">
        <f>Q5+'V&amp;W'!G37</f>
        <v>8345</v>
      </c>
      <c r="Q5" s="13">
        <f>S5+'V&amp;W'!I37</f>
        <v>7540</v>
      </c>
      <c r="S5" s="13">
        <v>6525</v>
      </c>
    </row>
    <row r="6" spans="2:31" ht="15" customHeight="1">
      <c r="B6" s="12" t="s">
        <v>61</v>
      </c>
      <c r="C6" s="9">
        <f>E6</f>
        <v>400</v>
      </c>
      <c r="E6" s="9">
        <f>G6</f>
        <v>400</v>
      </c>
      <c r="G6" s="9">
        <f>I6</f>
        <v>400</v>
      </c>
      <c r="I6" s="9">
        <v>400</v>
      </c>
      <c r="K6" s="11"/>
      <c r="M6" s="9">
        <f t="shared" ref="M6:S6" si="3">SUM(M3:M5)</f>
        <v>9380</v>
      </c>
      <c r="O6" s="9">
        <f t="shared" si="3"/>
        <v>8445</v>
      </c>
      <c r="Q6" s="9">
        <f t="shared" si="3"/>
        <v>7640</v>
      </c>
      <c r="S6" s="9">
        <f t="shared" si="3"/>
        <v>6625</v>
      </c>
    </row>
    <row r="7" spans="2:31" ht="15" customHeight="1">
      <c r="B7" s="12" t="s">
        <v>64</v>
      </c>
      <c r="C7" s="9">
        <f>E7-50</f>
        <v>1975</v>
      </c>
      <c r="E7" s="9">
        <f>G7-50</f>
        <v>2025</v>
      </c>
      <c r="G7" s="9">
        <v>2075</v>
      </c>
      <c r="I7" s="9">
        <v>405</v>
      </c>
      <c r="K7" s="11"/>
      <c r="M7" s="14"/>
      <c r="N7" s="14"/>
      <c r="O7" s="14"/>
      <c r="P7" s="14"/>
      <c r="Q7" s="14"/>
      <c r="R7" s="14"/>
      <c r="S7" s="14"/>
    </row>
    <row r="8" spans="2:31" ht="15" customHeight="1">
      <c r="B8" s="12" t="s">
        <v>62</v>
      </c>
      <c r="C8" s="10">
        <f>E8-150</f>
        <v>2420</v>
      </c>
      <c r="D8" s="10"/>
      <c r="E8" s="10">
        <f>G8-150</f>
        <v>2570</v>
      </c>
      <c r="F8" s="10"/>
      <c r="G8" s="10">
        <v>2720</v>
      </c>
      <c r="H8" s="10"/>
      <c r="I8" s="10">
        <v>635</v>
      </c>
      <c r="K8" s="11"/>
      <c r="L8" s="16" t="s">
        <v>71</v>
      </c>
    </row>
    <row r="9" spans="2:31" ht="15" customHeight="1">
      <c r="B9" s="12" t="s">
        <v>65</v>
      </c>
      <c r="C9" s="10">
        <f>E9-80</f>
        <v>360</v>
      </c>
      <c r="D9" s="10"/>
      <c r="E9" s="10">
        <f>G9-80</f>
        <v>440</v>
      </c>
      <c r="F9" s="10"/>
      <c r="G9" s="10">
        <v>520</v>
      </c>
      <c r="H9" s="10"/>
      <c r="I9" s="10">
        <v>115</v>
      </c>
      <c r="K9" s="11"/>
      <c r="L9" s="7" t="s">
        <v>75</v>
      </c>
      <c r="M9" s="7">
        <v>510</v>
      </c>
      <c r="N9" s="7"/>
      <c r="O9" s="7">
        <v>490</v>
      </c>
      <c r="P9" s="7"/>
      <c r="Q9" s="7">
        <v>470</v>
      </c>
      <c r="R9" s="7"/>
      <c r="S9" s="7">
        <v>450</v>
      </c>
    </row>
    <row r="10" spans="2:31" ht="15" customHeight="1">
      <c r="B10" s="12" t="s">
        <v>63</v>
      </c>
      <c r="C10" s="13">
        <f>E10-25</f>
        <v>195</v>
      </c>
      <c r="D10" s="10"/>
      <c r="E10" s="13">
        <f>G10-25</f>
        <v>220</v>
      </c>
      <c r="F10" s="10"/>
      <c r="G10" s="13">
        <v>245</v>
      </c>
      <c r="H10" s="10"/>
      <c r="I10" s="13">
        <v>120</v>
      </c>
      <c r="K10" s="11"/>
      <c r="L10" s="12" t="s">
        <v>72</v>
      </c>
      <c r="M10" s="53">
        <v>0</v>
      </c>
      <c r="O10" s="53">
        <v>0</v>
      </c>
      <c r="Q10" s="13">
        <v>45</v>
      </c>
      <c r="S10" s="13">
        <v>995</v>
      </c>
    </row>
    <row r="11" spans="2:31" ht="15" customHeight="1">
      <c r="C11" s="14">
        <f>SUM(C6:C10)</f>
        <v>5350</v>
      </c>
      <c r="D11" s="14"/>
      <c r="E11" s="14">
        <f>SUM(E6:E10)</f>
        <v>5655</v>
      </c>
      <c r="F11" s="14"/>
      <c r="G11" s="14">
        <f>SUM(G6:G10)</f>
        <v>5960</v>
      </c>
      <c r="H11" s="14"/>
      <c r="I11" s="14">
        <f>SUM(I6:I10)</f>
        <v>1675</v>
      </c>
      <c r="K11" s="11"/>
      <c r="L11" s="7"/>
      <c r="M11" s="14">
        <f>SUM(M8:M10)</f>
        <v>510</v>
      </c>
      <c r="N11" s="14"/>
      <c r="O11" s="14">
        <f>SUM(O8:O10)</f>
        <v>490</v>
      </c>
      <c r="P11" s="14"/>
      <c r="Q11" s="14">
        <f>SUM(Q8:Q10)</f>
        <v>515</v>
      </c>
      <c r="R11" s="14"/>
      <c r="S11" s="14">
        <f>SUM(S8:S10)</f>
        <v>1445</v>
      </c>
    </row>
    <row r="12" spans="2:31" ht="15" customHeight="1">
      <c r="B12" s="7"/>
      <c r="C12" s="7"/>
      <c r="D12" s="7"/>
      <c r="E12" s="7"/>
      <c r="F12" s="7"/>
      <c r="G12" s="7"/>
      <c r="H12" s="7"/>
      <c r="I12" s="7"/>
      <c r="K12" s="11"/>
      <c r="L12" s="7"/>
      <c r="M12" s="14"/>
      <c r="N12" s="14"/>
      <c r="O12" s="14"/>
      <c r="P12" s="14"/>
      <c r="Q12" s="14"/>
      <c r="R12" s="14"/>
      <c r="S12" s="14"/>
    </row>
    <row r="13" spans="2:31" ht="15" customHeight="1">
      <c r="B13" s="12" t="s">
        <v>121</v>
      </c>
      <c r="C13" s="173" t="s">
        <v>4</v>
      </c>
      <c r="E13" s="173" t="s">
        <v>4</v>
      </c>
      <c r="G13" s="173" t="s">
        <v>4</v>
      </c>
      <c r="I13" s="173" t="s">
        <v>4</v>
      </c>
      <c r="K13" s="11"/>
      <c r="L13" s="16" t="s">
        <v>76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2:31" ht="15" customHeight="1">
      <c r="K14" s="11"/>
      <c r="L14" s="12" t="s">
        <v>74</v>
      </c>
      <c r="M14" s="9">
        <v>4750</v>
      </c>
      <c r="O14" s="9">
        <v>4750</v>
      </c>
      <c r="Q14" s="9">
        <v>4750</v>
      </c>
      <c r="S14" s="9">
        <v>3500</v>
      </c>
      <c r="U14" s="23"/>
      <c r="V14" s="159"/>
      <c r="W14" s="23"/>
      <c r="X14" s="23"/>
      <c r="Y14" s="23"/>
      <c r="Z14" s="23"/>
      <c r="AA14" s="23"/>
      <c r="AB14" s="23"/>
      <c r="AC14" s="23"/>
      <c r="AD14" s="23"/>
      <c r="AE14" s="23"/>
    </row>
    <row r="15" spans="2:31" ht="15" customHeight="1">
      <c r="B15" s="16" t="s">
        <v>69</v>
      </c>
      <c r="K15" s="11"/>
      <c r="L15" s="17" t="s">
        <v>73</v>
      </c>
      <c r="M15" s="13">
        <v>6050</v>
      </c>
      <c r="N15" s="10"/>
      <c r="O15" s="13">
        <v>6550</v>
      </c>
      <c r="P15" s="10"/>
      <c r="Q15" s="13">
        <v>7050</v>
      </c>
      <c r="R15" s="10"/>
      <c r="S15" s="13">
        <v>4800</v>
      </c>
      <c r="U15" s="23"/>
      <c r="V15" s="159"/>
      <c r="W15" s="23"/>
      <c r="X15" s="23"/>
      <c r="Y15" s="23"/>
      <c r="Z15" s="23"/>
      <c r="AA15" s="23"/>
      <c r="AB15" s="23"/>
      <c r="AC15" s="23"/>
      <c r="AD15" s="23"/>
      <c r="AE15" s="23"/>
    </row>
    <row r="16" spans="2:31" s="18" customFormat="1" ht="15" customHeight="1">
      <c r="K16" s="19"/>
      <c r="L16" s="20"/>
      <c r="M16" s="14">
        <f>SUM(M13:M15)</f>
        <v>10800</v>
      </c>
      <c r="N16" s="14"/>
      <c r="O16" s="14">
        <f>SUM(O13:O15)</f>
        <v>11300</v>
      </c>
      <c r="P16" s="14"/>
      <c r="Q16" s="14">
        <f>SUM(Q13:Q15)</f>
        <v>11800</v>
      </c>
      <c r="R16" s="14"/>
      <c r="S16" s="14">
        <f>SUM(S13:S15)</f>
        <v>8300</v>
      </c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2:31" s="18" customFormat="1" ht="15" customHeight="1">
      <c r="K17" s="19"/>
      <c r="L17" s="20"/>
      <c r="M17" s="15"/>
      <c r="N17" s="15"/>
      <c r="O17" s="15"/>
      <c r="P17" s="15"/>
      <c r="Q17" s="15"/>
      <c r="R17" s="15"/>
      <c r="S17" s="15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</row>
    <row r="18" spans="2:31" ht="15" customHeight="1">
      <c r="B18" s="12" t="s">
        <v>184</v>
      </c>
      <c r="C18" s="7">
        <v>620</v>
      </c>
      <c r="D18" s="7"/>
      <c r="E18" s="7">
        <v>650</v>
      </c>
      <c r="F18" s="7"/>
      <c r="G18" s="7">
        <v>600</v>
      </c>
      <c r="H18" s="7"/>
      <c r="I18" s="7">
        <v>500</v>
      </c>
      <c r="K18" s="11"/>
      <c r="L18" s="16" t="s">
        <v>77</v>
      </c>
    </row>
    <row r="19" spans="2:31" ht="15" customHeight="1">
      <c r="B19" s="7" t="s">
        <v>66</v>
      </c>
      <c r="C19" s="9">
        <v>21550</v>
      </c>
      <c r="E19" s="9">
        <v>23450</v>
      </c>
      <c r="G19" s="9">
        <v>22850</v>
      </c>
      <c r="I19" s="9">
        <v>22300</v>
      </c>
      <c r="K19" s="11"/>
      <c r="L19" s="12" t="s">
        <v>78</v>
      </c>
      <c r="M19" s="9">
        <v>500</v>
      </c>
      <c r="O19" s="9">
        <v>500</v>
      </c>
      <c r="Q19" s="9">
        <v>500</v>
      </c>
      <c r="S19" s="9">
        <v>340</v>
      </c>
    </row>
    <row r="20" spans="2:31" ht="15" customHeight="1">
      <c r="B20" s="7" t="s">
        <v>67</v>
      </c>
      <c r="C20" s="9">
        <v>675</v>
      </c>
      <c r="E20" s="9">
        <v>580</v>
      </c>
      <c r="G20" s="9">
        <v>560</v>
      </c>
      <c r="I20" s="9">
        <v>270</v>
      </c>
      <c r="K20" s="11"/>
      <c r="L20" s="12" t="s">
        <v>108</v>
      </c>
      <c r="M20" s="7">
        <v>4420</v>
      </c>
      <c r="N20" s="7"/>
      <c r="O20" s="7">
        <v>5350</v>
      </c>
      <c r="P20" s="7"/>
      <c r="Q20" s="7">
        <v>5950</v>
      </c>
      <c r="R20" s="7"/>
      <c r="S20" s="7">
        <v>4840</v>
      </c>
      <c r="V20" s="161"/>
    </row>
    <row r="21" spans="2:31" ht="15" customHeight="1">
      <c r="B21" s="12" t="s">
        <v>0</v>
      </c>
      <c r="C21" s="9">
        <v>7890</v>
      </c>
      <c r="E21" s="9">
        <v>8510</v>
      </c>
      <c r="G21" s="9">
        <v>8390</v>
      </c>
      <c r="I21" s="9">
        <v>7900</v>
      </c>
      <c r="K21" s="11"/>
      <c r="L21" s="17" t="s">
        <v>81</v>
      </c>
      <c r="M21" s="10">
        <f>'V&amp;W'!E36</f>
        <v>315</v>
      </c>
      <c r="N21" s="10"/>
      <c r="O21" s="10">
        <f>'V&amp;W'!G36</f>
        <v>270</v>
      </c>
      <c r="P21" s="10"/>
      <c r="Q21" s="10">
        <f>'V&amp;W'!I36</f>
        <v>340</v>
      </c>
      <c r="R21" s="10"/>
      <c r="S21" s="10">
        <v>125</v>
      </c>
      <c r="T21" s="23"/>
    </row>
    <row r="22" spans="2:31" ht="15" customHeight="1">
      <c r="B22" s="12" t="s">
        <v>68</v>
      </c>
      <c r="C22" s="7">
        <v>120</v>
      </c>
      <c r="D22" s="7"/>
      <c r="E22" s="7">
        <v>120</v>
      </c>
      <c r="F22" s="7"/>
      <c r="G22" s="7">
        <v>120</v>
      </c>
      <c r="H22" s="7"/>
      <c r="I22" s="7">
        <v>50</v>
      </c>
      <c r="K22" s="11"/>
      <c r="L22" s="17" t="s">
        <v>2</v>
      </c>
      <c r="M22" s="10">
        <v>9530</v>
      </c>
      <c r="N22" s="10"/>
      <c r="O22" s="10">
        <v>11555</v>
      </c>
      <c r="P22" s="10"/>
      <c r="Q22" s="10">
        <v>10480</v>
      </c>
      <c r="R22" s="10"/>
      <c r="S22" s="10">
        <v>9980</v>
      </c>
      <c r="T22" s="23"/>
    </row>
    <row r="23" spans="2:31" ht="15" customHeight="1">
      <c r="B23" s="17" t="s">
        <v>1</v>
      </c>
      <c r="C23" s="13">
        <v>680</v>
      </c>
      <c r="D23" s="10"/>
      <c r="E23" s="13">
        <v>310</v>
      </c>
      <c r="F23" s="10"/>
      <c r="G23" s="13">
        <v>200</v>
      </c>
      <c r="H23" s="10"/>
      <c r="I23" s="13">
        <v>280</v>
      </c>
      <c r="K23" s="11"/>
      <c r="L23" s="17" t="s">
        <v>80</v>
      </c>
      <c r="M23" s="13">
        <v>1430</v>
      </c>
      <c r="N23" s="10"/>
      <c r="O23" s="13">
        <v>1365</v>
      </c>
      <c r="P23" s="10"/>
      <c r="Q23" s="13">
        <v>1455</v>
      </c>
      <c r="R23" s="10"/>
      <c r="S23" s="13">
        <v>1320</v>
      </c>
    </row>
    <row r="24" spans="2:31" s="18" customFormat="1" ht="15" customHeight="1">
      <c r="B24" s="21"/>
      <c r="C24" s="14">
        <f>SUM(C15:C23)</f>
        <v>31535</v>
      </c>
      <c r="D24" s="15"/>
      <c r="E24" s="14">
        <f>SUM(E15:E23)</f>
        <v>33620</v>
      </c>
      <c r="F24" s="15"/>
      <c r="G24" s="14">
        <f>SUM(G15:G23)</f>
        <v>32720</v>
      </c>
      <c r="H24" s="15"/>
      <c r="I24" s="14">
        <f>SUM(I15:I23)</f>
        <v>31300</v>
      </c>
      <c r="K24" s="19"/>
      <c r="L24" s="20"/>
      <c r="M24" s="14">
        <f>SUM(M18:M23)</f>
        <v>16195</v>
      </c>
      <c r="N24" s="14"/>
      <c r="O24" s="14">
        <f>SUM(O18:O23)</f>
        <v>19040</v>
      </c>
      <c r="P24" s="14"/>
      <c r="Q24" s="14">
        <f>SUM(Q18:Q23)</f>
        <v>18725</v>
      </c>
      <c r="R24" s="14"/>
      <c r="S24" s="14">
        <f>SUM(S18:S23)</f>
        <v>16605</v>
      </c>
    </row>
    <row r="25" spans="2:31" ht="9.9499999999999993" customHeight="1">
      <c r="B25" s="17"/>
      <c r="C25" s="22"/>
      <c r="D25" s="23"/>
      <c r="E25" s="22"/>
      <c r="F25" s="23"/>
      <c r="G25" s="22"/>
      <c r="H25" s="23"/>
      <c r="I25" s="22"/>
      <c r="K25" s="11"/>
      <c r="M25" s="22"/>
      <c r="N25" s="23"/>
      <c r="O25" s="22"/>
      <c r="P25" s="23"/>
      <c r="Q25" s="22"/>
      <c r="R25" s="23"/>
      <c r="S25" s="22"/>
    </row>
    <row r="26" spans="2:31" s="1" customFormat="1" ht="15" customHeight="1" thickBot="1">
      <c r="B26" s="8"/>
      <c r="C26" s="24">
        <f>C11+C24</f>
        <v>36885</v>
      </c>
      <c r="D26" s="25"/>
      <c r="E26" s="24">
        <f>E11+E24</f>
        <v>39275</v>
      </c>
      <c r="F26" s="25"/>
      <c r="G26" s="24">
        <f>G11+G24</f>
        <v>38680</v>
      </c>
      <c r="H26" s="25"/>
      <c r="I26" s="24">
        <f>I11+I24</f>
        <v>32975</v>
      </c>
      <c r="K26" s="25"/>
      <c r="L26" s="16"/>
      <c r="M26" s="24">
        <f>M6+M11+M16+M24</f>
        <v>36885</v>
      </c>
      <c r="O26" s="24">
        <f>O6+O11+O16+O24</f>
        <v>39275</v>
      </c>
      <c r="Q26" s="24">
        <f>Q6+Q11+Q16+Q24</f>
        <v>38680</v>
      </c>
      <c r="S26" s="24">
        <f>S6+S11+S16+S24</f>
        <v>32975</v>
      </c>
    </row>
    <row r="27" spans="2:31" s="23" customFormat="1" ht="9.9499999999999993" customHeight="1" thickTop="1">
      <c r="L27" s="17"/>
      <c r="M27" s="10"/>
      <c r="N27" s="10"/>
      <c r="O27" s="10"/>
      <c r="P27" s="10"/>
      <c r="Q27" s="10"/>
      <c r="R27" s="10"/>
      <c r="S27" s="10"/>
    </row>
    <row r="28" spans="2:31" s="162" customFormat="1" ht="15" customHeight="1">
      <c r="B28" s="56"/>
      <c r="C28" s="55"/>
      <c r="D28" s="55"/>
      <c r="E28" s="55"/>
      <c r="F28" s="55"/>
      <c r="G28" s="55"/>
      <c r="H28" s="55"/>
      <c r="I28" s="55"/>
      <c r="L28" s="163"/>
      <c r="M28" s="164">
        <f>M26-C26</f>
        <v>0</v>
      </c>
      <c r="N28" s="164"/>
      <c r="O28" s="164">
        <f>O26-E26</f>
        <v>0</v>
      </c>
      <c r="P28" s="164"/>
      <c r="Q28" s="164">
        <f>Q26-G26</f>
        <v>0</v>
      </c>
      <c r="R28" s="164"/>
      <c r="S28" s="164">
        <f>S26-I26</f>
        <v>0</v>
      </c>
      <c r="U28" s="162" t="s">
        <v>177</v>
      </c>
    </row>
  </sheetData>
  <mergeCells count="1">
    <mergeCell ref="E1:M1"/>
  </mergeCells>
  <phoneticPr fontId="6" type="noConversion"/>
  <pageMargins left="0.75" right="0.75" top="1" bottom="1" header="0.5" footer="0.5"/>
  <pageSetup paperSize="9" orientation="portrait" r:id="rId1"/>
  <headerFooter alignWithMargins="0"/>
  <ignoredErrors>
    <ignoredError sqref="M6 O6 Q6 S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46FA3-1122-4AE1-B500-7912949ADBF3}">
  <sheetPr>
    <tabColor theme="6" tint="0.39997558519241921"/>
  </sheetPr>
  <dimension ref="A1:M30"/>
  <sheetViews>
    <sheetView zoomScale="110" zoomScaleNormal="110" workbookViewId="0"/>
  </sheetViews>
  <sheetFormatPr defaultRowHeight="20.100000000000001" customHeight="1"/>
  <cols>
    <col min="1" max="1" width="1.7109375" style="95" customWidth="1"/>
    <col min="2" max="2" width="36.7109375" style="32" customWidth="1"/>
    <col min="3" max="3" width="1.7109375" style="96" customWidth="1"/>
    <col min="4" max="4" width="51" style="26" bestFit="1" customWidth="1"/>
    <col min="5" max="5" width="1.7109375" style="58" customWidth="1"/>
    <col min="6" max="6" width="10.7109375" style="95" customWidth="1"/>
    <col min="7" max="7" width="1.7109375" style="95" customWidth="1"/>
    <col min="8" max="8" width="10.7109375" style="95" customWidth="1"/>
    <col min="9" max="9" width="1.7109375" style="95" customWidth="1"/>
    <col min="10" max="10" width="10.7109375" style="97" customWidth="1"/>
    <col min="11" max="11" width="1.7109375" style="97" customWidth="1"/>
    <col min="12" max="12" width="10.7109375" style="97" customWidth="1"/>
    <col min="13" max="13" width="1.7109375" style="95" customWidth="1"/>
    <col min="14" max="14" width="4.7109375" style="136" customWidth="1"/>
    <col min="15" max="15" width="1.7109375" style="136" customWidth="1"/>
    <col min="16" max="16" width="18.5703125" style="136" bestFit="1" customWidth="1"/>
    <col min="17" max="17" width="1.7109375" style="136" customWidth="1"/>
    <col min="18" max="18" width="9.140625" style="136"/>
    <col min="19" max="19" width="1.7109375" style="136" customWidth="1"/>
    <col min="20" max="20" width="9.140625" style="136"/>
    <col min="21" max="21" width="1.7109375" style="136" customWidth="1"/>
    <col min="22" max="22" width="9.140625" style="136"/>
    <col min="23" max="23" width="1.7109375" style="136" customWidth="1"/>
    <col min="24" max="24" width="9.140625" style="136"/>
    <col min="25" max="26" width="1.7109375" style="136" customWidth="1"/>
    <col min="27" max="16384" width="9.140625" style="136"/>
  </cols>
  <sheetData>
    <row r="1" spans="1:13" s="150" customFormat="1" ht="30" customHeight="1">
      <c r="A1" s="251"/>
      <c r="B1" s="252" t="s">
        <v>167</v>
      </c>
      <c r="C1" s="253"/>
      <c r="D1" s="252"/>
      <c r="E1" s="254"/>
      <c r="F1" s="255">
        <f>Balans!C2</f>
        <v>2020</v>
      </c>
      <c r="G1" s="252"/>
      <c r="H1" s="255">
        <f>Balans!E2</f>
        <v>2019</v>
      </c>
      <c r="I1" s="252"/>
      <c r="J1" s="255">
        <f>Balans!G2</f>
        <v>2018</v>
      </c>
      <c r="K1" s="252"/>
      <c r="L1" s="255">
        <f>Balans!I2</f>
        <v>2017</v>
      </c>
      <c r="M1" s="256"/>
    </row>
    <row r="2" spans="1:13" s="124" customFormat="1" ht="9.9499999999999993" customHeight="1">
      <c r="A2" s="257"/>
      <c r="B2" s="258"/>
      <c r="C2" s="259"/>
      <c r="D2" s="133"/>
      <c r="E2" s="134"/>
      <c r="F2" s="133"/>
      <c r="G2" s="133"/>
      <c r="H2" s="133"/>
      <c r="I2" s="133"/>
      <c r="J2" s="133"/>
      <c r="K2" s="133"/>
      <c r="L2" s="134"/>
      <c r="M2" s="260"/>
    </row>
    <row r="3" spans="1:13" s="124" customFormat="1" ht="20.100000000000001" customHeight="1">
      <c r="A3" s="141"/>
      <c r="B3" s="126" t="s">
        <v>27</v>
      </c>
      <c r="C3" s="135" t="s">
        <v>16</v>
      </c>
      <c r="D3" s="90" t="s">
        <v>28</v>
      </c>
      <c r="E3" s="57"/>
      <c r="F3" s="90">
        <f>(Balans!C18+Balans!C19+Balans!C20+Balans!E18+Balans!E19+Balans!E20)/2/'V&amp;W'!E8*365</f>
        <v>260.8515037593985</v>
      </c>
      <c r="G3" s="90"/>
      <c r="H3" s="90">
        <f>(Balans!E18+Balans!E19+Balans!E20+Balans!G18+Balans!G19+Balans!G20)/2/'V&amp;W'!G8*365</f>
        <v>275.27648698884758</v>
      </c>
      <c r="I3" s="90"/>
      <c r="J3" s="90">
        <f>(Balans!G18+Balans!G19+Balans!G20+Balans!I18+Balans!I19+Balans!I20)/2/'V&amp;W'!I8*365</f>
        <v>237.94239822763777</v>
      </c>
      <c r="K3" s="90"/>
      <c r="L3" s="261" t="s">
        <v>4</v>
      </c>
      <c r="M3" s="142"/>
    </row>
    <row r="4" spans="1:13" s="124" customFormat="1" ht="20.100000000000001" customHeight="1">
      <c r="A4" s="141"/>
      <c r="B4" s="126"/>
      <c r="C4" s="135"/>
      <c r="D4" s="90"/>
      <c r="E4" s="57"/>
      <c r="F4" s="90"/>
      <c r="G4" s="90"/>
      <c r="H4" s="90"/>
      <c r="I4" s="90"/>
      <c r="J4" s="90"/>
      <c r="K4" s="90"/>
      <c r="L4" s="261"/>
      <c r="M4" s="142"/>
    </row>
    <row r="5" spans="1:13" s="124" customFormat="1" ht="20.100000000000001" customHeight="1">
      <c r="A5" s="141"/>
      <c r="B5" s="126" t="s">
        <v>152</v>
      </c>
      <c r="C5" s="135" t="s">
        <v>16</v>
      </c>
      <c r="D5" s="262" t="s">
        <v>151</v>
      </c>
      <c r="E5" s="57"/>
      <c r="F5" s="90">
        <v>0</v>
      </c>
      <c r="G5" s="90"/>
      <c r="H5" s="90">
        <v>0</v>
      </c>
      <c r="I5" s="90"/>
      <c r="J5" s="90">
        <v>0</v>
      </c>
      <c r="K5" s="90"/>
      <c r="L5" s="269" t="s">
        <v>4</v>
      </c>
      <c r="M5" s="142"/>
    </row>
    <row r="6" spans="1:13" s="124" customFormat="1" ht="20.100000000000001" customHeight="1">
      <c r="A6" s="141"/>
      <c r="B6" s="126"/>
      <c r="C6" s="135"/>
      <c r="D6" s="90"/>
      <c r="E6" s="57"/>
      <c r="F6" s="90"/>
      <c r="G6" s="90"/>
      <c r="H6" s="90"/>
      <c r="I6" s="90"/>
      <c r="J6" s="90"/>
      <c r="K6" s="90"/>
      <c r="L6" s="261"/>
      <c r="M6" s="142"/>
    </row>
    <row r="7" spans="1:13" s="124" customFormat="1" ht="20.100000000000001" customHeight="1">
      <c r="A7" s="141"/>
      <c r="B7" s="126" t="s">
        <v>29</v>
      </c>
      <c r="C7" s="135" t="s">
        <v>16</v>
      </c>
      <c r="D7" s="90" t="s">
        <v>30</v>
      </c>
      <c r="E7" s="57"/>
      <c r="F7" s="90">
        <f>(Balans!C21+Balans!E21)/2/'V&amp;W'!E6*365</f>
        <v>72.085741811175339</v>
      </c>
      <c r="G7" s="90"/>
      <c r="H7" s="90">
        <f>(Balans!E21+Balans!G21)/2/'V&amp;W'!G6*365</f>
        <v>76.952345309381229</v>
      </c>
      <c r="I7" s="90"/>
      <c r="J7" s="90">
        <f>(Balans!G21+Balans!I21)/2/'V&amp;W'!I6*365</f>
        <v>68.264638346727892</v>
      </c>
      <c r="K7" s="90"/>
      <c r="L7" s="261" t="s">
        <v>4</v>
      </c>
      <c r="M7" s="142"/>
    </row>
    <row r="8" spans="1:13" s="124" customFormat="1" ht="20.100000000000001" customHeight="1">
      <c r="A8" s="141"/>
      <c r="B8" s="126"/>
      <c r="C8" s="135"/>
      <c r="D8" s="90"/>
      <c r="E8" s="57"/>
      <c r="F8" s="90"/>
      <c r="G8" s="90"/>
      <c r="H8" s="90"/>
      <c r="I8" s="90"/>
      <c r="J8" s="90"/>
      <c r="K8" s="90"/>
      <c r="L8" s="261"/>
      <c r="M8" s="142"/>
    </row>
    <row r="9" spans="1:13" s="124" customFormat="1" ht="20.100000000000001" customHeight="1">
      <c r="A9" s="141"/>
      <c r="B9" s="126" t="s">
        <v>31</v>
      </c>
      <c r="C9" s="135" t="s">
        <v>16</v>
      </c>
      <c r="D9" s="90" t="s">
        <v>32</v>
      </c>
      <c r="E9" s="57"/>
      <c r="F9" s="90">
        <f>(Balans!M22+Balans!O22)/2/'V&amp;W'!E8*365</f>
        <v>115.7296992481203</v>
      </c>
      <c r="G9" s="90"/>
      <c r="H9" s="90">
        <f>(Balans!O22+Balans!Q22)/2/'V&amp;W'!G8*365</f>
        <v>124.57829925650557</v>
      </c>
      <c r="I9" s="90"/>
      <c r="J9" s="90">
        <f>(Balans!Q22+Balans!S22)/2/'V&amp;W'!I8*365</f>
        <v>103.40487399612296</v>
      </c>
      <c r="K9" s="90"/>
      <c r="L9" s="261" t="s">
        <v>4</v>
      </c>
      <c r="M9" s="142"/>
    </row>
    <row r="10" spans="1:13" s="124" customFormat="1" ht="9.9499999999999993" customHeight="1">
      <c r="A10" s="263"/>
      <c r="B10" s="264"/>
      <c r="C10" s="265"/>
      <c r="D10" s="46"/>
      <c r="E10" s="44"/>
      <c r="F10" s="130"/>
      <c r="G10" s="130"/>
      <c r="H10" s="130"/>
      <c r="I10" s="130"/>
      <c r="J10" s="140"/>
      <c r="K10" s="140"/>
      <c r="L10" s="140"/>
      <c r="M10" s="266"/>
    </row>
    <row r="11" spans="1:13" s="124" customFormat="1" ht="30" customHeight="1">
      <c r="A11" s="157"/>
      <c r="B11" s="52"/>
      <c r="C11" s="51"/>
      <c r="D11" s="41"/>
      <c r="E11" s="39"/>
      <c r="F11" s="157"/>
      <c r="G11" s="157"/>
      <c r="H11" s="157"/>
      <c r="I11" s="157"/>
      <c r="J11" s="267"/>
      <c r="K11" s="267"/>
      <c r="L11" s="267"/>
      <c r="M11" s="157"/>
    </row>
    <row r="12" spans="1:13" s="150" customFormat="1" ht="30" customHeight="1">
      <c r="A12" s="251"/>
      <c r="B12" s="252" t="s">
        <v>156</v>
      </c>
      <c r="C12" s="253"/>
      <c r="D12" s="252"/>
      <c r="E12" s="254"/>
      <c r="F12" s="252">
        <f>F1</f>
        <v>2020</v>
      </c>
      <c r="G12" s="252"/>
      <c r="H12" s="252">
        <f>H1</f>
        <v>2019</v>
      </c>
      <c r="I12" s="252"/>
      <c r="J12" s="252">
        <f>J1</f>
        <v>2018</v>
      </c>
      <c r="K12" s="252"/>
      <c r="L12" s="254">
        <f>L1</f>
        <v>2017</v>
      </c>
      <c r="M12" s="256"/>
    </row>
    <row r="13" spans="1:13" s="124" customFormat="1" ht="9.9499999999999993" customHeight="1">
      <c r="A13" s="257"/>
      <c r="B13" s="258"/>
      <c r="C13" s="259"/>
      <c r="D13" s="133"/>
      <c r="E13" s="134"/>
      <c r="F13" s="133"/>
      <c r="G13" s="133"/>
      <c r="H13" s="133"/>
      <c r="I13" s="133"/>
      <c r="J13" s="133"/>
      <c r="K13" s="133"/>
      <c r="L13" s="134"/>
      <c r="M13" s="260"/>
    </row>
    <row r="14" spans="1:13" s="126" customFormat="1" ht="20.100000000000001" customHeight="1">
      <c r="A14" s="137"/>
      <c r="B14" s="126" t="s">
        <v>27</v>
      </c>
      <c r="C14" s="135" t="s">
        <v>16</v>
      </c>
      <c r="D14" s="126" t="s">
        <v>33</v>
      </c>
      <c r="E14" s="268"/>
      <c r="L14" s="261"/>
      <c r="M14" s="138"/>
    </row>
    <row r="15" spans="1:13" s="124" customFormat="1" ht="20.100000000000001" customHeight="1">
      <c r="A15" s="141"/>
      <c r="C15" s="135" t="s">
        <v>16</v>
      </c>
      <c r="D15" s="90" t="s">
        <v>34</v>
      </c>
      <c r="E15" s="57"/>
      <c r="F15" s="90">
        <f>F3</f>
        <v>260.8515037593985</v>
      </c>
      <c r="G15" s="90"/>
      <c r="H15" s="90">
        <f>H3</f>
        <v>275.27648698884758</v>
      </c>
      <c r="I15" s="90"/>
      <c r="J15" s="90">
        <f>J3</f>
        <v>237.94239822763777</v>
      </c>
      <c r="K15" s="90"/>
      <c r="L15" s="261" t="s">
        <v>4</v>
      </c>
      <c r="M15" s="142"/>
    </row>
    <row r="16" spans="1:13" s="124" customFormat="1" ht="20.100000000000001" customHeight="1">
      <c r="A16" s="141"/>
      <c r="C16" s="135"/>
      <c r="D16" s="90"/>
      <c r="E16" s="57"/>
      <c r="F16" s="90"/>
      <c r="G16" s="90"/>
      <c r="H16" s="90"/>
      <c r="I16" s="90"/>
      <c r="J16" s="90"/>
      <c r="K16" s="90"/>
      <c r="L16" s="261"/>
      <c r="M16" s="142"/>
    </row>
    <row r="17" spans="1:13" s="126" customFormat="1" ht="20.100000000000001" customHeight="1">
      <c r="A17" s="137"/>
      <c r="B17" s="126" t="s">
        <v>152</v>
      </c>
      <c r="C17" s="135" t="s">
        <v>16</v>
      </c>
      <c r="D17" s="126" t="s">
        <v>153</v>
      </c>
      <c r="E17" s="268"/>
      <c r="L17" s="261"/>
      <c r="M17" s="138"/>
    </row>
    <row r="18" spans="1:13" s="124" customFormat="1" ht="20.100000000000001" customHeight="1">
      <c r="A18" s="141"/>
      <c r="C18" s="135" t="s">
        <v>16</v>
      </c>
      <c r="D18" s="262" t="s">
        <v>154</v>
      </c>
      <c r="E18" s="57"/>
      <c r="F18" s="90">
        <f>F6</f>
        <v>0</v>
      </c>
      <c r="G18" s="90"/>
      <c r="H18" s="90">
        <f>H6</f>
        <v>0</v>
      </c>
      <c r="I18" s="90"/>
      <c r="J18" s="90">
        <f>J6</f>
        <v>0</v>
      </c>
      <c r="K18" s="90"/>
      <c r="L18" s="261" t="s">
        <v>4</v>
      </c>
      <c r="M18" s="142"/>
    </row>
    <row r="19" spans="1:13" s="124" customFormat="1" ht="20.100000000000001" customHeight="1">
      <c r="A19" s="141"/>
      <c r="B19" s="126"/>
      <c r="C19" s="135"/>
      <c r="D19" s="90"/>
      <c r="E19" s="57"/>
      <c r="F19" s="90"/>
      <c r="G19" s="90"/>
      <c r="H19" s="90"/>
      <c r="I19" s="90"/>
      <c r="J19" s="90"/>
      <c r="K19" s="90"/>
      <c r="L19" s="261"/>
      <c r="M19" s="142"/>
    </row>
    <row r="20" spans="1:13" s="126" customFormat="1" ht="20.100000000000001" customHeight="1">
      <c r="A20" s="137"/>
      <c r="B20" s="126" t="s">
        <v>29</v>
      </c>
      <c r="C20" s="135" t="s">
        <v>16</v>
      </c>
      <c r="D20" s="126" t="s">
        <v>35</v>
      </c>
      <c r="E20" s="268"/>
      <c r="F20" s="90"/>
      <c r="G20" s="90"/>
      <c r="H20" s="90"/>
      <c r="I20" s="90"/>
      <c r="J20" s="90"/>
      <c r="L20" s="261"/>
      <c r="M20" s="138"/>
    </row>
    <row r="21" spans="1:13" s="124" customFormat="1" ht="20.100000000000001" customHeight="1">
      <c r="A21" s="141"/>
      <c r="B21" s="126"/>
      <c r="C21" s="135" t="s">
        <v>16</v>
      </c>
      <c r="D21" s="90" t="s">
        <v>36</v>
      </c>
      <c r="E21" s="57"/>
      <c r="F21" s="90">
        <f>F7</f>
        <v>72.085741811175339</v>
      </c>
      <c r="G21" s="90"/>
      <c r="H21" s="90">
        <f>H7</f>
        <v>76.952345309381229</v>
      </c>
      <c r="I21" s="90"/>
      <c r="J21" s="90">
        <f>J7</f>
        <v>68.264638346727892</v>
      </c>
      <c r="K21" s="90"/>
      <c r="L21" s="261" t="s">
        <v>4</v>
      </c>
      <c r="M21" s="142"/>
    </row>
    <row r="22" spans="1:13" s="124" customFormat="1" ht="20.100000000000001" customHeight="1">
      <c r="A22" s="141"/>
      <c r="B22" s="126"/>
      <c r="C22" s="135"/>
      <c r="D22" s="90"/>
      <c r="E22" s="57"/>
      <c r="F22" s="90"/>
      <c r="G22" s="90"/>
      <c r="H22" s="90"/>
      <c r="I22" s="90"/>
      <c r="J22" s="90"/>
      <c r="K22" s="90"/>
      <c r="L22" s="261"/>
      <c r="M22" s="142"/>
    </row>
    <row r="23" spans="1:13" s="126" customFormat="1" ht="20.100000000000001" customHeight="1">
      <c r="A23" s="137"/>
      <c r="B23" s="126" t="s">
        <v>31</v>
      </c>
      <c r="C23" s="135" t="s">
        <v>16</v>
      </c>
      <c r="D23" s="126" t="s">
        <v>37</v>
      </c>
      <c r="E23" s="268"/>
      <c r="F23" s="90"/>
      <c r="G23" s="90"/>
      <c r="H23" s="90"/>
      <c r="I23" s="90"/>
      <c r="J23" s="90"/>
      <c r="L23" s="261"/>
      <c r="M23" s="138"/>
    </row>
    <row r="24" spans="1:13" s="124" customFormat="1" ht="20.100000000000001" customHeight="1">
      <c r="A24" s="141"/>
      <c r="B24" s="126"/>
      <c r="C24" s="135" t="s">
        <v>16</v>
      </c>
      <c r="D24" s="90" t="s">
        <v>38</v>
      </c>
      <c r="E24" s="57"/>
      <c r="F24" s="90">
        <f>-F9</f>
        <v>-115.7296992481203</v>
      </c>
      <c r="G24" s="90"/>
      <c r="H24" s="90">
        <f>-H9</f>
        <v>-124.57829925650557</v>
      </c>
      <c r="I24" s="90"/>
      <c r="J24" s="90">
        <f>-J9</f>
        <v>-103.40487399612296</v>
      </c>
      <c r="K24" s="90"/>
      <c r="L24" s="261" t="s">
        <v>4</v>
      </c>
      <c r="M24" s="142"/>
    </row>
    <row r="25" spans="1:13" s="124" customFormat="1" ht="9.9499999999999993" customHeight="1">
      <c r="A25" s="141"/>
      <c r="B25" s="126"/>
      <c r="C25" s="135"/>
      <c r="D25" s="90"/>
      <c r="E25" s="57"/>
      <c r="F25" s="90"/>
      <c r="G25" s="90"/>
      <c r="H25" s="90"/>
      <c r="I25" s="90"/>
      <c r="J25" s="90"/>
      <c r="K25" s="90"/>
      <c r="L25" s="57"/>
      <c r="M25" s="142"/>
    </row>
    <row r="26" spans="1:13" s="124" customFormat="1" ht="9.9499999999999993" customHeight="1">
      <c r="A26" s="257"/>
      <c r="B26" s="258"/>
      <c r="C26" s="259"/>
      <c r="D26" s="133"/>
      <c r="E26" s="134"/>
      <c r="F26" s="133"/>
      <c r="G26" s="133"/>
      <c r="H26" s="133"/>
      <c r="I26" s="133"/>
      <c r="J26" s="133"/>
      <c r="K26" s="133"/>
      <c r="L26" s="134"/>
      <c r="M26" s="260"/>
    </row>
    <row r="27" spans="1:13" s="126" customFormat="1" ht="20.100000000000001" customHeight="1">
      <c r="A27" s="137"/>
      <c r="B27" s="126" t="s">
        <v>157</v>
      </c>
      <c r="C27" s="135" t="s">
        <v>16</v>
      </c>
      <c r="D27" s="126" t="s">
        <v>39</v>
      </c>
      <c r="E27" s="268"/>
      <c r="F27" s="126">
        <f>SUM(F13:F25)</f>
        <v>217.20754632245354</v>
      </c>
      <c r="H27" s="126">
        <f>SUM(H13:H25)</f>
        <v>227.65053304172321</v>
      </c>
      <c r="J27" s="126">
        <f>SUM(J13:J25)</f>
        <v>202.8021625782427</v>
      </c>
      <c r="L27" s="139" t="s">
        <v>4</v>
      </c>
      <c r="M27" s="138"/>
    </row>
    <row r="28" spans="1:13" s="126" customFormat="1" ht="20.100000000000001" customHeight="1">
      <c r="A28" s="137"/>
      <c r="C28" s="135" t="s">
        <v>16</v>
      </c>
      <c r="D28" s="126" t="s">
        <v>155</v>
      </c>
      <c r="E28" s="268"/>
      <c r="L28" s="139"/>
      <c r="M28" s="138"/>
    </row>
    <row r="29" spans="1:13" s="124" customFormat="1" ht="9.9499999999999993" customHeight="1">
      <c r="A29" s="263"/>
      <c r="B29" s="264"/>
      <c r="C29" s="265"/>
      <c r="D29" s="46"/>
      <c r="E29" s="44"/>
      <c r="F29" s="130"/>
      <c r="G29" s="130"/>
      <c r="H29" s="130"/>
      <c r="I29" s="130"/>
      <c r="J29" s="140"/>
      <c r="K29" s="140"/>
      <c r="L29" s="140"/>
      <c r="M29" s="266"/>
    </row>
    <row r="30" spans="1:13" s="124" customFormat="1" ht="20.100000000000001" customHeight="1">
      <c r="A30" s="157"/>
      <c r="B30" s="52"/>
      <c r="C30" s="51"/>
      <c r="D30" s="41"/>
      <c r="E30" s="39"/>
      <c r="F30" s="157"/>
      <c r="G30" s="157"/>
      <c r="H30" s="157"/>
      <c r="I30" s="157"/>
      <c r="J30" s="267"/>
      <c r="K30" s="267"/>
      <c r="L30" s="267"/>
      <c r="M30" s="157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2575-AA9D-49BE-81B6-88FA7A235ACB}">
  <sheetPr>
    <tabColor theme="6" tint="0.39997558519241921"/>
  </sheetPr>
  <dimension ref="A1:BR63"/>
  <sheetViews>
    <sheetView zoomScale="120" zoomScaleNormal="120" workbookViewId="0"/>
  </sheetViews>
  <sheetFormatPr defaultRowHeight="20.100000000000001" customHeight="1"/>
  <cols>
    <col min="1" max="1" width="1.7109375" style="95" customWidth="1"/>
    <col min="2" max="2" width="25.7109375" style="32" customWidth="1"/>
    <col min="3" max="3" width="1.7109375" style="96" customWidth="1"/>
    <col min="4" max="4" width="42.7109375" style="176" customWidth="1"/>
    <col min="5" max="5" width="10.7109375" style="97" customWidth="1"/>
    <col min="6" max="6" width="1.7109375" style="97" customWidth="1"/>
    <col min="7" max="7" width="10.7109375" style="97" customWidth="1"/>
    <col min="8" max="8" width="1.7109375" style="97" customWidth="1"/>
    <col min="9" max="9" width="10.7109375" style="97" customWidth="1"/>
    <col min="10" max="10" width="1.7109375" style="97" customWidth="1"/>
    <col min="11" max="11" width="10.7109375" style="97" customWidth="1"/>
    <col min="12" max="12" width="1.7109375" style="95" customWidth="1"/>
    <col min="13" max="16384" width="9.140625" style="95"/>
  </cols>
  <sheetData>
    <row r="1" spans="1:70" s="363" customFormat="1" ht="30" customHeight="1">
      <c r="A1" s="357"/>
      <c r="B1" s="358" t="s">
        <v>46</v>
      </c>
      <c r="C1" s="359"/>
      <c r="D1" s="360" t="s">
        <v>226</v>
      </c>
      <c r="E1" s="361">
        <f>Balans!C2</f>
        <v>2020</v>
      </c>
      <c r="F1" s="361"/>
      <c r="G1" s="361">
        <f>Balans!E2</f>
        <v>2019</v>
      </c>
      <c r="H1" s="361"/>
      <c r="I1" s="361">
        <f>Balans!G2</f>
        <v>2018</v>
      </c>
      <c r="J1" s="361"/>
      <c r="K1" s="361">
        <f>Balans!I2</f>
        <v>2017</v>
      </c>
      <c r="L1" s="362"/>
    </row>
    <row r="2" spans="1:70" ht="20.100000000000001" customHeight="1">
      <c r="A2" s="364"/>
      <c r="E2" s="365"/>
      <c r="F2" s="365"/>
      <c r="G2" s="365"/>
      <c r="H2" s="365"/>
      <c r="I2" s="365"/>
      <c r="J2" s="365"/>
      <c r="K2" s="365"/>
      <c r="L2" s="366"/>
    </row>
    <row r="3" spans="1:70" ht="20.100000000000001" customHeight="1">
      <c r="A3" s="364"/>
      <c r="B3" s="32" t="s">
        <v>40</v>
      </c>
      <c r="C3" s="96" t="s">
        <v>16</v>
      </c>
      <c r="D3" s="176" t="s">
        <v>41</v>
      </c>
      <c r="E3" s="367">
        <f>'234. Werkkapitaal'!K3</f>
        <v>31535</v>
      </c>
      <c r="F3" s="367"/>
      <c r="G3" s="367">
        <f>'234. Werkkapitaal'!M3</f>
        <v>33620</v>
      </c>
      <c r="H3" s="367"/>
      <c r="I3" s="367">
        <f>'234. Werkkapitaal'!O3</f>
        <v>32720</v>
      </c>
      <c r="J3" s="367"/>
      <c r="K3" s="367">
        <f>'234. Werkkapitaal'!Q3</f>
        <v>31300</v>
      </c>
      <c r="L3" s="366"/>
    </row>
    <row r="4" spans="1:70" ht="20.100000000000001" customHeight="1">
      <c r="A4" s="364"/>
      <c r="B4" s="32" t="s">
        <v>3</v>
      </c>
      <c r="C4" s="96" t="s">
        <v>16</v>
      </c>
      <c r="D4" s="176" t="s">
        <v>42</v>
      </c>
      <c r="E4" s="367">
        <f>'234. Werkkapitaal'!K4</f>
        <v>15340</v>
      </c>
      <c r="F4" s="367"/>
      <c r="G4" s="367">
        <f>'234. Werkkapitaal'!M4</f>
        <v>14580</v>
      </c>
      <c r="H4" s="367"/>
      <c r="I4" s="367">
        <f>'234. Werkkapitaal'!O4</f>
        <v>13995</v>
      </c>
      <c r="J4" s="367"/>
      <c r="K4" s="367">
        <f>'234. Werkkapitaal'!Q4</f>
        <v>14695</v>
      </c>
      <c r="L4" s="366"/>
    </row>
    <row r="5" spans="1:70" ht="20.100000000000001" customHeight="1">
      <c r="A5" s="364"/>
      <c r="B5" s="32" t="s">
        <v>128</v>
      </c>
      <c r="C5" s="96" t="s">
        <v>16</v>
      </c>
      <c r="D5" s="176" t="s">
        <v>127</v>
      </c>
      <c r="E5" s="178">
        <f>'234. Werkkapitaal'!K5</f>
        <v>680</v>
      </c>
      <c r="F5" s="178"/>
      <c r="G5" s="178">
        <f>'234. Werkkapitaal'!M5</f>
        <v>310</v>
      </c>
      <c r="H5" s="178"/>
      <c r="I5" s="178">
        <f>'234. Werkkapitaal'!O5</f>
        <v>200</v>
      </c>
      <c r="J5" s="178"/>
      <c r="K5" s="178">
        <f>'234. Werkkapitaal'!Q5</f>
        <v>280</v>
      </c>
      <c r="L5" s="366"/>
    </row>
    <row r="6" spans="1:70" ht="20.100000000000001" customHeight="1">
      <c r="A6" s="364"/>
      <c r="B6" s="32" t="s">
        <v>122</v>
      </c>
      <c r="C6" s="96" t="s">
        <v>16</v>
      </c>
      <c r="D6" s="176" t="s">
        <v>194</v>
      </c>
      <c r="E6" s="178">
        <f>'234. Werkkapitaal'!K6</f>
        <v>-4555</v>
      </c>
      <c r="F6" s="178"/>
      <c r="G6" s="178">
        <f>'234. Werkkapitaal'!M6</f>
        <v>-5810</v>
      </c>
      <c r="H6" s="178"/>
      <c r="I6" s="178">
        <f>'234. Werkkapitaal'!O6</f>
        <v>-6590</v>
      </c>
      <c r="J6" s="178"/>
      <c r="K6" s="178">
        <f>'234. Werkkapitaal'!Q6</f>
        <v>-5025</v>
      </c>
      <c r="L6" s="366"/>
    </row>
    <row r="7" spans="1:70" ht="20.100000000000001" customHeight="1">
      <c r="A7" s="364"/>
      <c r="B7" s="32" t="s">
        <v>195</v>
      </c>
      <c r="C7" s="96" t="s">
        <v>16</v>
      </c>
      <c r="D7" s="176" t="s">
        <v>196</v>
      </c>
      <c r="E7" s="367">
        <f>'234. Werkkapitaal'!K7</f>
        <v>19895</v>
      </c>
      <c r="F7" s="367"/>
      <c r="G7" s="367">
        <f>'234. Werkkapitaal'!M7</f>
        <v>20390</v>
      </c>
      <c r="H7" s="367"/>
      <c r="I7" s="367">
        <f>'234. Werkkapitaal'!O7</f>
        <v>20585</v>
      </c>
      <c r="J7" s="367"/>
      <c r="K7" s="367">
        <f>'234. Werkkapitaal'!Q7</f>
        <v>19720</v>
      </c>
      <c r="L7" s="366"/>
    </row>
    <row r="8" spans="1:70" ht="20.100000000000001" customHeight="1">
      <c r="A8" s="364"/>
      <c r="B8" s="32" t="s">
        <v>197</v>
      </c>
      <c r="C8" s="96" t="s">
        <v>16</v>
      </c>
      <c r="D8" s="176" t="s">
        <v>198</v>
      </c>
      <c r="E8" s="367">
        <f>'234. Werkkapitaal'!K8</f>
        <v>21205</v>
      </c>
      <c r="F8" s="367"/>
      <c r="G8" s="367">
        <f>'234. Werkkapitaal'!M8</f>
        <v>21635</v>
      </c>
      <c r="H8" s="367"/>
      <c r="I8" s="367">
        <f>'234. Werkkapitaal'!O8</f>
        <v>21920</v>
      </c>
      <c r="J8" s="367"/>
      <c r="K8" s="367">
        <f>'234. Werkkapitaal'!Q8</f>
        <v>20990</v>
      </c>
      <c r="L8" s="366"/>
    </row>
    <row r="9" spans="1:70" s="157" customFormat="1" ht="20.100000000000001" customHeight="1">
      <c r="A9" s="368"/>
      <c r="B9" s="264"/>
      <c r="C9" s="265"/>
      <c r="D9" s="369"/>
      <c r="E9" s="369"/>
      <c r="F9" s="369"/>
      <c r="G9" s="369"/>
      <c r="H9" s="369"/>
      <c r="I9" s="369"/>
      <c r="J9" s="369"/>
      <c r="K9" s="369"/>
      <c r="L9" s="370"/>
    </row>
    <row r="10" spans="1:70" s="157" customFormat="1" ht="20.100000000000001" customHeight="1">
      <c r="A10" s="365"/>
      <c r="B10" s="52"/>
      <c r="C10" s="51"/>
      <c r="D10" s="365"/>
      <c r="E10" s="365"/>
      <c r="F10" s="365"/>
      <c r="G10" s="365"/>
      <c r="H10" s="365"/>
      <c r="I10" s="365"/>
      <c r="J10" s="365"/>
      <c r="K10" s="365"/>
      <c r="L10" s="365"/>
    </row>
    <row r="11" spans="1:70" s="157" customFormat="1" ht="20.100000000000001" customHeight="1">
      <c r="B11" s="52"/>
      <c r="C11" s="51"/>
      <c r="D11" s="365"/>
      <c r="E11" s="267"/>
      <c r="F11" s="267"/>
      <c r="G11" s="267"/>
      <c r="H11" s="267"/>
      <c r="I11" s="267"/>
      <c r="J11" s="267"/>
      <c r="K11" s="267"/>
    </row>
    <row r="12" spans="1:70" s="379" customFormat="1" ht="30" customHeight="1">
      <c r="A12" s="371"/>
      <c r="B12" s="372" t="s">
        <v>199</v>
      </c>
      <c r="C12" s="373"/>
      <c r="D12" s="374"/>
      <c r="E12" s="375">
        <f>E1</f>
        <v>2020</v>
      </c>
      <c r="F12" s="375"/>
      <c r="G12" s="375">
        <f t="shared" ref="G12" si="0">G1</f>
        <v>2019</v>
      </c>
      <c r="H12" s="375"/>
      <c r="I12" s="375">
        <f t="shared" ref="I12" si="1">I1</f>
        <v>2018</v>
      </c>
      <c r="J12" s="375"/>
      <c r="K12" s="375">
        <f t="shared" ref="K12" si="2">K1</f>
        <v>2017</v>
      </c>
      <c r="L12" s="376"/>
      <c r="M12" s="377"/>
      <c r="N12" s="378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</row>
    <row r="13" spans="1:70" s="157" customFormat="1" ht="20.100000000000001" customHeight="1">
      <c r="A13" s="380"/>
      <c r="B13" s="52"/>
      <c r="C13" s="51"/>
      <c r="D13" s="365"/>
      <c r="E13" s="365"/>
      <c r="F13" s="381"/>
      <c r="G13" s="365"/>
      <c r="H13" s="381"/>
      <c r="I13" s="365"/>
      <c r="J13" s="381"/>
      <c r="K13" s="365"/>
      <c r="L13" s="382"/>
      <c r="M13" s="365"/>
      <c r="N13" s="381"/>
    </row>
    <row r="14" spans="1:70" s="365" customFormat="1" ht="20.100000000000001" customHeight="1">
      <c r="A14" s="380"/>
      <c r="B14" s="52" t="s">
        <v>200</v>
      </c>
      <c r="C14" s="383" t="s">
        <v>201</v>
      </c>
      <c r="D14" s="365" t="s">
        <v>202</v>
      </c>
      <c r="E14" s="365">
        <f>Balans!C20</f>
        <v>675</v>
      </c>
      <c r="F14" s="381"/>
      <c r="G14" s="365">
        <f>Balans!E20</f>
        <v>580</v>
      </c>
      <c r="H14" s="381"/>
      <c r="I14" s="365">
        <f>Balans!G20</f>
        <v>560</v>
      </c>
      <c r="J14" s="381"/>
      <c r="K14" s="365">
        <f>Balans!I20</f>
        <v>270</v>
      </c>
      <c r="L14" s="382"/>
      <c r="N14" s="381"/>
    </row>
    <row r="15" spans="1:70" s="365" customFormat="1" ht="20.100000000000001" customHeight="1">
      <c r="A15" s="380"/>
      <c r="B15" s="52"/>
      <c r="C15" s="383" t="s">
        <v>201</v>
      </c>
      <c r="D15" s="365" t="s">
        <v>203</v>
      </c>
      <c r="E15" s="365">
        <v>0</v>
      </c>
      <c r="F15" s="381"/>
      <c r="G15" s="365">
        <v>0</v>
      </c>
      <c r="H15" s="381"/>
      <c r="I15" s="365">
        <v>0</v>
      </c>
      <c r="J15" s="381"/>
      <c r="K15" s="365">
        <v>0</v>
      </c>
      <c r="L15" s="382"/>
      <c r="N15" s="381"/>
    </row>
    <row r="16" spans="1:70" s="365" customFormat="1" ht="20.100000000000001" customHeight="1">
      <c r="A16" s="380"/>
      <c r="B16" s="52"/>
      <c r="C16" s="383" t="s">
        <v>201</v>
      </c>
      <c r="D16" s="365" t="s">
        <v>204</v>
      </c>
      <c r="E16" s="365">
        <f>Balans!C22</f>
        <v>120</v>
      </c>
      <c r="F16" s="381"/>
      <c r="G16" s="365">
        <f>Balans!E22</f>
        <v>120</v>
      </c>
      <c r="H16" s="381"/>
      <c r="I16" s="365">
        <f>Balans!G22</f>
        <v>120</v>
      </c>
      <c r="J16" s="381"/>
      <c r="K16" s="365">
        <f>Balans!I22</f>
        <v>50</v>
      </c>
      <c r="L16" s="384"/>
      <c r="M16" s="381"/>
      <c r="N16" s="381"/>
    </row>
    <row r="17" spans="1:70" s="365" customFormat="1" ht="20.100000000000001" customHeight="1">
      <c r="A17" s="380"/>
      <c r="B17" s="52"/>
      <c r="C17" s="383"/>
      <c r="F17" s="381"/>
      <c r="H17" s="381"/>
      <c r="J17" s="381"/>
      <c r="L17" s="384"/>
      <c r="M17" s="381"/>
      <c r="N17" s="381"/>
    </row>
    <row r="18" spans="1:70" s="390" customFormat="1" ht="20.100000000000001" customHeight="1">
      <c r="A18" s="385"/>
      <c r="B18" s="386" t="s">
        <v>205</v>
      </c>
      <c r="C18" s="387"/>
      <c r="D18" s="386"/>
      <c r="E18" s="386">
        <f>SUM(E13:E17)</f>
        <v>795</v>
      </c>
      <c r="F18" s="388"/>
      <c r="G18" s="386">
        <f t="shared" ref="G18" si="3">SUM(G13:G17)</f>
        <v>700</v>
      </c>
      <c r="H18" s="388"/>
      <c r="I18" s="386">
        <f t="shared" ref="I18" si="4">SUM(I13:I17)</f>
        <v>680</v>
      </c>
      <c r="J18" s="388"/>
      <c r="K18" s="386">
        <f t="shared" ref="K18" si="5">SUM(K13:K17)</f>
        <v>320</v>
      </c>
      <c r="L18" s="389"/>
      <c r="N18" s="391"/>
    </row>
    <row r="19" spans="1:70" s="157" customFormat="1" ht="20.100000000000001" customHeight="1">
      <c r="B19" s="52"/>
      <c r="C19" s="51"/>
      <c r="D19" s="392"/>
      <c r="E19" s="51"/>
      <c r="F19" s="365"/>
      <c r="G19" s="267"/>
      <c r="H19" s="267"/>
      <c r="I19" s="267"/>
      <c r="J19" s="267"/>
    </row>
    <row r="20" spans="1:70" s="176" customFormat="1" ht="20.100000000000001" customHeight="1">
      <c r="B20" s="393" t="s">
        <v>229</v>
      </c>
      <c r="C20" s="215"/>
      <c r="D20" s="213"/>
      <c r="E20" s="215"/>
      <c r="G20" s="221"/>
      <c r="H20" s="221"/>
      <c r="I20" s="221"/>
      <c r="J20" s="221"/>
    </row>
    <row r="21" spans="1:70" s="176" customFormat="1" ht="20.100000000000001" customHeight="1">
      <c r="B21" s="176" t="s">
        <v>206</v>
      </c>
      <c r="C21" s="215"/>
      <c r="D21" s="213"/>
      <c r="E21" s="215"/>
      <c r="G21" s="221"/>
      <c r="H21" s="221"/>
      <c r="I21" s="221"/>
      <c r="J21" s="221"/>
    </row>
    <row r="22" spans="1:70" ht="20.100000000000001" customHeight="1">
      <c r="D22" s="48"/>
      <c r="E22" s="48"/>
      <c r="F22" s="176"/>
      <c r="L22" s="97"/>
      <c r="M22" s="97"/>
    </row>
    <row r="23" spans="1:70" s="404" customFormat="1" ht="30" customHeight="1">
      <c r="A23" s="394"/>
      <c r="B23" s="395" t="s">
        <v>207</v>
      </c>
      <c r="C23" s="396"/>
      <c r="D23" s="395"/>
      <c r="E23" s="397">
        <f>E1</f>
        <v>2020</v>
      </c>
      <c r="F23" s="398"/>
      <c r="G23" s="397">
        <f t="shared" ref="G23" si="6">G1</f>
        <v>2019</v>
      </c>
      <c r="H23" s="398"/>
      <c r="I23" s="397">
        <f t="shared" ref="I23" si="7">I1</f>
        <v>2018</v>
      </c>
      <c r="J23" s="398"/>
      <c r="K23" s="397">
        <f t="shared" ref="K23" si="8">K1</f>
        <v>2017</v>
      </c>
      <c r="L23" s="399"/>
      <c r="M23" s="400"/>
      <c r="N23" s="401"/>
      <c r="O23" s="402"/>
      <c r="P23" s="402"/>
      <c r="Q23" s="402"/>
      <c r="R23" s="403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</row>
    <row r="24" spans="1:70" s="407" customFormat="1" ht="20.100000000000001" customHeight="1">
      <c r="A24" s="234"/>
      <c r="B24" s="238"/>
      <c r="C24" s="239"/>
      <c r="D24" s="233"/>
      <c r="E24" s="222"/>
      <c r="F24" s="222"/>
      <c r="G24" s="222"/>
      <c r="H24" s="222"/>
      <c r="I24" s="222"/>
      <c r="J24" s="222"/>
      <c r="K24" s="222"/>
      <c r="L24" s="214"/>
      <c r="M24" s="222"/>
      <c r="N24" s="222"/>
      <c r="O24" s="405"/>
      <c r="P24" s="405"/>
      <c r="Q24" s="405"/>
      <c r="R24" s="406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</row>
    <row r="25" spans="1:70" ht="20.100000000000001" customHeight="1">
      <c r="A25" s="115"/>
      <c r="B25" s="32" t="s">
        <v>208</v>
      </c>
      <c r="C25" s="48"/>
      <c r="D25" s="32"/>
      <c r="E25" s="50"/>
      <c r="F25" s="50"/>
      <c r="G25" s="50"/>
      <c r="H25" s="50"/>
      <c r="I25" s="50"/>
      <c r="J25" s="50"/>
      <c r="K25" s="50"/>
      <c r="L25" s="408"/>
      <c r="M25" s="97"/>
      <c r="N25" s="97"/>
      <c r="R25" s="97"/>
    </row>
    <row r="26" spans="1:70" ht="20.100000000000001" customHeight="1">
      <c r="A26" s="364"/>
      <c r="B26" s="176" t="s">
        <v>209</v>
      </c>
      <c r="C26" s="48"/>
      <c r="D26" s="95"/>
      <c r="E26" s="381">
        <f>(Balans!C18+Balans!C19+Balans!C20+Balans!E18+Balans!E19+Balans!E20)/2</f>
        <v>23762.5</v>
      </c>
      <c r="F26" s="381"/>
      <c r="G26" s="381">
        <f>(Balans!E18+Balans!E19+Balans!E20+Balans!G18+Balans!G19+Balans!G20)/2</f>
        <v>24345</v>
      </c>
      <c r="H26" s="381"/>
      <c r="I26" s="381">
        <f>(Balans!G18+Balans!G19+Balans!G20+Balans!I18+Balans!I19+Balans!I20)/2</f>
        <v>23540</v>
      </c>
      <c r="J26" s="381"/>
      <c r="K26" s="381"/>
      <c r="L26" s="384"/>
      <c r="M26" s="381"/>
      <c r="N26" s="97"/>
      <c r="R26" s="97"/>
    </row>
    <row r="27" spans="1:70" ht="20.100000000000001" customHeight="1">
      <c r="A27" s="364"/>
      <c r="B27" s="176" t="s">
        <v>210</v>
      </c>
      <c r="C27" s="48"/>
      <c r="D27" s="95"/>
      <c r="E27" s="381">
        <f>'239. Activiteit'!F3</f>
        <v>260.8515037593985</v>
      </c>
      <c r="F27" s="267"/>
      <c r="G27" s="381">
        <f>'239. Activiteit'!H3</f>
        <v>275.27648698884758</v>
      </c>
      <c r="H27" s="267"/>
      <c r="I27" s="381">
        <f>'239. Activiteit'!J3</f>
        <v>237.94239822763777</v>
      </c>
      <c r="J27" s="267"/>
      <c r="K27" s="381"/>
      <c r="L27" s="409"/>
      <c r="M27" s="381"/>
      <c r="N27" s="97"/>
      <c r="R27" s="97"/>
    </row>
    <row r="28" spans="1:70" ht="20.100000000000001" customHeight="1">
      <c r="A28" s="364"/>
      <c r="B28" s="274" t="s">
        <v>211</v>
      </c>
      <c r="C28" s="34"/>
      <c r="D28" s="410"/>
      <c r="E28" s="411">
        <v>30</v>
      </c>
      <c r="F28" s="140"/>
      <c r="G28" s="411">
        <v>31</v>
      </c>
      <c r="H28" s="140"/>
      <c r="I28" s="411">
        <v>32</v>
      </c>
      <c r="J28" s="140"/>
      <c r="K28" s="411"/>
      <c r="L28" s="412"/>
      <c r="M28" s="97"/>
      <c r="N28" s="97"/>
      <c r="R28" s="97"/>
    </row>
    <row r="29" spans="1:70" s="32" customFormat="1" ht="20.100000000000001" customHeight="1">
      <c r="A29" s="115"/>
      <c r="B29" s="32" t="s">
        <v>212</v>
      </c>
      <c r="C29" s="48"/>
      <c r="E29" s="50">
        <f>IF(E26&gt;0,E27-E28,"n.v.t.")</f>
        <v>230.8515037593985</v>
      </c>
      <c r="F29" s="50"/>
      <c r="G29" s="50">
        <f t="shared" ref="G29" si="9">IF(G26&gt;0,G27-G28,"n.v.t.")</f>
        <v>244.27648698884758</v>
      </c>
      <c r="H29" s="50"/>
      <c r="I29" s="50">
        <f t="shared" ref="I29" si="10">IF(I26&gt;0,I27-I28,"n.v.t.")</f>
        <v>205.94239822763777</v>
      </c>
      <c r="J29" s="50"/>
      <c r="K29" s="50" t="str">
        <f t="shared" ref="K29" si="11">IF(K26&gt;0,K27-K28,"n.v.t.")</f>
        <v>n.v.t.</v>
      </c>
      <c r="L29" s="413"/>
      <c r="M29" s="50"/>
      <c r="N29" s="217"/>
      <c r="R29" s="217"/>
    </row>
    <row r="30" spans="1:70" s="32" customFormat="1" ht="20.100000000000001" customHeight="1">
      <c r="A30" s="115"/>
      <c r="B30" s="32" t="s">
        <v>213</v>
      </c>
      <c r="C30" s="48"/>
      <c r="E30" s="414">
        <f>IF(E29="n.v.t.","n.v.t.",E29/E27*E26)</f>
        <v>21029.623287671235</v>
      </c>
      <c r="F30" s="50"/>
      <c r="G30" s="414">
        <f t="shared" ref="G30" si="12">IF(G29="n.v.t.","n.v.t.",G29/G27*G26)</f>
        <v>21603.410958904111</v>
      </c>
      <c r="H30" s="50"/>
      <c r="I30" s="414">
        <f>IF(I29="n.v.t.","0",I29/I27*I26)</f>
        <v>20374.191780821919</v>
      </c>
      <c r="J30" s="50"/>
      <c r="K30" s="414" t="str">
        <f>IF(K29="n.v.t.","0",K29/K27*K26)</f>
        <v>0</v>
      </c>
      <c r="L30" s="413"/>
      <c r="M30" s="50"/>
      <c r="N30" s="217"/>
      <c r="R30" s="217"/>
    </row>
    <row r="31" spans="1:70" ht="20.100000000000001" customHeight="1">
      <c r="A31" s="364"/>
      <c r="C31" s="48"/>
      <c r="E31" s="381"/>
      <c r="F31" s="267"/>
      <c r="G31" s="381"/>
      <c r="H31" s="267"/>
      <c r="I31" s="381"/>
      <c r="J31" s="267"/>
      <c r="K31" s="381"/>
      <c r="L31" s="412"/>
      <c r="M31" s="97"/>
      <c r="N31" s="97"/>
      <c r="R31" s="97"/>
    </row>
    <row r="32" spans="1:70" ht="20.100000000000001" customHeight="1">
      <c r="A32" s="115"/>
      <c r="B32" s="32" t="s">
        <v>214</v>
      </c>
      <c r="C32" s="48"/>
      <c r="D32" s="32"/>
      <c r="E32" s="50"/>
      <c r="F32" s="50"/>
      <c r="G32" s="50"/>
      <c r="H32" s="50"/>
      <c r="I32" s="50"/>
      <c r="J32" s="50"/>
      <c r="K32" s="50"/>
      <c r="L32" s="408"/>
      <c r="M32" s="97"/>
      <c r="N32" s="97"/>
      <c r="R32" s="97"/>
    </row>
    <row r="33" spans="1:18" ht="20.100000000000001" customHeight="1">
      <c r="A33" s="364"/>
      <c r="B33" s="176" t="s">
        <v>215</v>
      </c>
      <c r="C33" s="48"/>
      <c r="D33" s="95"/>
      <c r="E33" s="381">
        <v>0</v>
      </c>
      <c r="F33" s="381"/>
      <c r="G33" s="381">
        <v>0</v>
      </c>
      <c r="H33" s="381"/>
      <c r="I33" s="381">
        <v>0</v>
      </c>
      <c r="J33" s="381"/>
      <c r="K33" s="381"/>
      <c r="L33" s="384"/>
      <c r="M33" s="381"/>
      <c r="N33" s="97"/>
      <c r="R33" s="97"/>
    </row>
    <row r="34" spans="1:18" ht="20.100000000000001" customHeight="1">
      <c r="A34" s="364"/>
      <c r="B34" s="176" t="s">
        <v>216</v>
      </c>
      <c r="C34" s="48"/>
      <c r="D34" s="95"/>
      <c r="E34" s="381">
        <f>'239. Activiteit'!F5</f>
        <v>0</v>
      </c>
      <c r="F34" s="267"/>
      <c r="G34" s="381">
        <f>'239. Activiteit'!H5</f>
        <v>0</v>
      </c>
      <c r="H34" s="267"/>
      <c r="I34" s="381">
        <f>'239. Activiteit'!J5</f>
        <v>0</v>
      </c>
      <c r="J34" s="267"/>
      <c r="K34" s="381"/>
      <c r="L34" s="409"/>
      <c r="M34" s="381"/>
      <c r="N34" s="97"/>
      <c r="R34" s="97"/>
    </row>
    <row r="35" spans="1:18" ht="20.100000000000001" customHeight="1">
      <c r="A35" s="364"/>
      <c r="B35" s="274" t="s">
        <v>217</v>
      </c>
      <c r="C35" s="34"/>
      <c r="D35" s="410"/>
      <c r="E35" s="411">
        <v>2</v>
      </c>
      <c r="F35" s="140"/>
      <c r="G35" s="411">
        <v>2</v>
      </c>
      <c r="H35" s="140"/>
      <c r="I35" s="411">
        <v>2</v>
      </c>
      <c r="J35" s="140"/>
      <c r="K35" s="411"/>
      <c r="L35" s="412"/>
      <c r="M35" s="97"/>
      <c r="N35" s="97"/>
      <c r="R35" s="97"/>
    </row>
    <row r="36" spans="1:18" s="32" customFormat="1" ht="20.100000000000001" customHeight="1">
      <c r="A36" s="115"/>
      <c r="B36" s="32" t="s">
        <v>218</v>
      </c>
      <c r="C36" s="48"/>
      <c r="E36" s="50" t="str">
        <f>IF(E33&gt;0,E34-E35,"n.v.t.")</f>
        <v>n.v.t.</v>
      </c>
      <c r="F36" s="50"/>
      <c r="G36" s="50" t="str">
        <f t="shared" ref="G36" si="13">IF(G33&gt;0,G34-G35,"n.v.t.")</f>
        <v>n.v.t.</v>
      </c>
      <c r="H36" s="50"/>
      <c r="I36" s="50" t="str">
        <f t="shared" ref="I36" si="14">IF(I33&gt;0,I34-I35,"n.v.t.")</f>
        <v>n.v.t.</v>
      </c>
      <c r="J36" s="50"/>
      <c r="K36" s="50" t="str">
        <f t="shared" ref="K36" si="15">IF(K33&gt;0,K34-K35,"n.v.t.")</f>
        <v>n.v.t.</v>
      </c>
      <c r="L36" s="413"/>
      <c r="M36" s="50"/>
      <c r="N36" s="217"/>
      <c r="R36" s="217"/>
    </row>
    <row r="37" spans="1:18" s="32" customFormat="1" ht="20.100000000000001" customHeight="1">
      <c r="A37" s="115"/>
      <c r="B37" s="32" t="s">
        <v>213</v>
      </c>
      <c r="C37" s="48"/>
      <c r="E37" s="414" t="str">
        <f>IF(E36="n.v.t.","0",E36/E34*E33)</f>
        <v>0</v>
      </c>
      <c r="F37" s="50"/>
      <c r="G37" s="414" t="str">
        <f t="shared" ref="G37" si="16">IF(G36="n.v.t.","0",G36/G34*G33)</f>
        <v>0</v>
      </c>
      <c r="H37" s="50"/>
      <c r="I37" s="414" t="str">
        <f t="shared" ref="I37:K37" si="17">IF(I36="n.v.t.","0",I36/I34*I33)</f>
        <v>0</v>
      </c>
      <c r="J37" s="50"/>
      <c r="K37" s="414" t="str">
        <f t="shared" si="17"/>
        <v>0</v>
      </c>
      <c r="L37" s="413"/>
      <c r="M37" s="50"/>
      <c r="N37" s="217"/>
      <c r="R37" s="217"/>
    </row>
    <row r="38" spans="1:18" ht="20.100000000000001" customHeight="1">
      <c r="A38" s="364"/>
      <c r="C38" s="48"/>
      <c r="E38" s="381"/>
      <c r="F38" s="267"/>
      <c r="G38" s="381"/>
      <c r="H38" s="267"/>
      <c r="I38" s="381"/>
      <c r="J38" s="267"/>
      <c r="K38" s="381"/>
      <c r="L38" s="412"/>
      <c r="M38" s="97"/>
      <c r="N38" s="97"/>
      <c r="R38" s="97"/>
    </row>
    <row r="39" spans="1:18" ht="20.100000000000001" customHeight="1">
      <c r="A39" s="115"/>
      <c r="B39" s="32" t="s">
        <v>219</v>
      </c>
      <c r="C39" s="48"/>
      <c r="D39" s="95"/>
      <c r="E39" s="50"/>
      <c r="F39" s="50"/>
      <c r="G39" s="50"/>
      <c r="H39" s="50"/>
      <c r="I39" s="50"/>
      <c r="J39" s="50"/>
      <c r="K39" s="50"/>
      <c r="L39" s="408"/>
      <c r="M39" s="97"/>
      <c r="N39" s="97"/>
      <c r="R39" s="97"/>
    </row>
    <row r="40" spans="1:18" ht="20.100000000000001" customHeight="1">
      <c r="A40" s="364"/>
      <c r="B40" s="176" t="s">
        <v>220</v>
      </c>
      <c r="C40" s="48"/>
      <c r="D40" s="95"/>
      <c r="E40" s="381">
        <f>(Balans!C21+Balans!E21)/2</f>
        <v>8200</v>
      </c>
      <c r="F40" s="381"/>
      <c r="G40" s="381">
        <f>(Balans!E21+Balans!G21)/2</f>
        <v>8450</v>
      </c>
      <c r="H40" s="381"/>
      <c r="I40" s="381">
        <f>(Balans!G21+Balans!I21)/2</f>
        <v>8145</v>
      </c>
      <c r="J40" s="381"/>
      <c r="K40" s="381"/>
      <c r="L40" s="384"/>
      <c r="M40" s="381"/>
      <c r="N40" s="97"/>
      <c r="R40" s="97"/>
    </row>
    <row r="41" spans="1:18" ht="20.100000000000001" customHeight="1">
      <c r="A41" s="364"/>
      <c r="B41" s="176" t="s">
        <v>221</v>
      </c>
      <c r="C41" s="48"/>
      <c r="D41" s="95"/>
      <c r="E41" s="381">
        <f>'239. Activiteit'!F7</f>
        <v>72.085741811175339</v>
      </c>
      <c r="F41" s="267"/>
      <c r="G41" s="381">
        <f>'239. Activiteit'!H7</f>
        <v>76.952345309381229</v>
      </c>
      <c r="H41" s="267"/>
      <c r="I41" s="381">
        <f>'239. Activiteit'!J7</f>
        <v>68.264638346727892</v>
      </c>
      <c r="J41" s="267"/>
      <c r="K41" s="381"/>
      <c r="L41" s="409"/>
      <c r="M41" s="381"/>
      <c r="N41" s="97"/>
      <c r="R41" s="97"/>
    </row>
    <row r="42" spans="1:18" ht="20.100000000000001" customHeight="1">
      <c r="A42" s="364"/>
      <c r="B42" s="274" t="s">
        <v>222</v>
      </c>
      <c r="C42" s="34"/>
      <c r="D42" s="410"/>
      <c r="E42" s="411">
        <v>30</v>
      </c>
      <c r="F42" s="140"/>
      <c r="G42" s="411">
        <v>31</v>
      </c>
      <c r="H42" s="140"/>
      <c r="I42" s="411">
        <v>32</v>
      </c>
      <c r="J42" s="140"/>
      <c r="K42" s="411"/>
      <c r="L42" s="409"/>
      <c r="M42" s="381"/>
      <c r="N42" s="97"/>
      <c r="R42" s="97"/>
    </row>
    <row r="43" spans="1:18" s="32" customFormat="1" ht="20.100000000000001" customHeight="1">
      <c r="A43" s="115"/>
      <c r="B43" s="32" t="s">
        <v>223</v>
      </c>
      <c r="C43" s="48"/>
      <c r="E43" s="50">
        <f>IF(E40&gt;0,E41-E42,"n.v.t.")</f>
        <v>42.085741811175339</v>
      </c>
      <c r="F43" s="50"/>
      <c r="G43" s="50">
        <f t="shared" ref="G43" si="18">IF(G40&gt;0,G41-G42,"n.v.t.")</f>
        <v>45.952345309381229</v>
      </c>
      <c r="H43" s="50"/>
      <c r="I43" s="50">
        <f t="shared" ref="I43" si="19">IF(I40&gt;0,I41-I42,"n.v.t.")</f>
        <v>36.264638346727892</v>
      </c>
      <c r="J43" s="50"/>
      <c r="K43" s="50" t="str">
        <f t="shared" ref="K43" si="20">IF(K40&gt;0,K41-K42,"n.v.t.")</f>
        <v>n.v.t.</v>
      </c>
      <c r="L43" s="413"/>
      <c r="M43" s="50"/>
      <c r="N43" s="217"/>
      <c r="R43" s="217"/>
    </row>
    <row r="44" spans="1:18" s="32" customFormat="1" ht="20.100000000000001" customHeight="1">
      <c r="A44" s="115"/>
      <c r="B44" s="32" t="s">
        <v>224</v>
      </c>
      <c r="C44" s="48"/>
      <c r="E44" s="414">
        <f>IF(E43="n.v.t.","n.v.t.",E43/E41*E40)</f>
        <v>4787.3972602739732</v>
      </c>
      <c r="F44" s="50"/>
      <c r="G44" s="414">
        <f t="shared" ref="G44" si="21">IF(G43="n.v.t.","n.v.t.",G43/G41*G40)</f>
        <v>5045.9452054794519</v>
      </c>
      <c r="H44" s="50"/>
      <c r="I44" s="414">
        <f>IF(I43="n.v.t.","0",I43/I41*I40)</f>
        <v>4326.9178082191775</v>
      </c>
      <c r="J44" s="50"/>
      <c r="K44" s="414" t="str">
        <f>IF(K43="n.v.t.","0",K43/K41*K40)</f>
        <v>0</v>
      </c>
      <c r="L44" s="413"/>
      <c r="M44" s="50"/>
      <c r="N44" s="217"/>
      <c r="R44" s="217"/>
    </row>
    <row r="45" spans="1:18" ht="20.100000000000001" customHeight="1">
      <c r="A45" s="364"/>
      <c r="C45" s="48"/>
      <c r="E45" s="381"/>
      <c r="F45" s="267"/>
      <c r="G45" s="381"/>
      <c r="H45" s="267"/>
      <c r="I45" s="381"/>
      <c r="J45" s="267"/>
      <c r="K45" s="381"/>
      <c r="L45" s="412"/>
      <c r="M45" s="97"/>
      <c r="N45" s="97"/>
      <c r="R45" s="97"/>
    </row>
    <row r="46" spans="1:18" s="176" customFormat="1" ht="30" customHeight="1">
      <c r="A46" s="415"/>
      <c r="B46" s="416" t="s">
        <v>225</v>
      </c>
      <c r="C46" s="417"/>
      <c r="D46" s="418"/>
      <c r="E46" s="388">
        <f>E30+E37+E44</f>
        <v>25817.020547945209</v>
      </c>
      <c r="F46" s="388"/>
      <c r="G46" s="388">
        <f t="shared" ref="G46" si="22">G30+G37+G44</f>
        <v>26649.356164383564</v>
      </c>
      <c r="H46" s="388"/>
      <c r="I46" s="388">
        <f t="shared" ref="I46:K46" si="23">I30+I37+I44</f>
        <v>24701.109589041094</v>
      </c>
      <c r="J46" s="388"/>
      <c r="K46" s="388">
        <f t="shared" si="23"/>
        <v>0</v>
      </c>
      <c r="L46" s="419"/>
      <c r="M46" s="391"/>
      <c r="N46" s="221"/>
      <c r="R46" s="221"/>
    </row>
    <row r="47" spans="1:18" ht="20.100000000000001" customHeight="1">
      <c r="D47" s="48"/>
      <c r="E47" s="48"/>
      <c r="F47" s="176"/>
      <c r="L47" s="97"/>
      <c r="M47" s="97"/>
    </row>
    <row r="48" spans="1:18" ht="20.100000000000001" customHeight="1">
      <c r="D48" s="48"/>
      <c r="E48" s="48"/>
      <c r="F48" s="176"/>
      <c r="L48" s="97"/>
      <c r="M48" s="97"/>
    </row>
    <row r="49" spans="4:13" ht="20.100000000000001" customHeight="1">
      <c r="D49" s="48"/>
      <c r="E49" s="48"/>
      <c r="F49" s="176"/>
      <c r="L49" s="97"/>
      <c r="M49" s="97"/>
    </row>
    <row r="50" spans="4:13" ht="20.100000000000001" customHeight="1">
      <c r="D50" s="48"/>
      <c r="E50" s="48"/>
      <c r="F50" s="176"/>
      <c r="L50" s="97"/>
      <c r="M50" s="97"/>
    </row>
    <row r="51" spans="4:13" ht="20.100000000000001" customHeight="1">
      <c r="D51" s="48"/>
      <c r="E51" s="48"/>
      <c r="F51" s="176"/>
      <c r="L51" s="97"/>
      <c r="M51" s="97"/>
    </row>
    <row r="52" spans="4:13" ht="20.100000000000001" customHeight="1">
      <c r="D52" s="48"/>
      <c r="E52" s="48"/>
      <c r="F52" s="176"/>
      <c r="L52" s="97"/>
      <c r="M52" s="97"/>
    </row>
    <row r="53" spans="4:13" ht="20.100000000000001" customHeight="1">
      <c r="D53" s="48"/>
      <c r="E53" s="48"/>
      <c r="F53" s="176"/>
      <c r="L53" s="97"/>
      <c r="M53" s="97"/>
    </row>
    <row r="54" spans="4:13" ht="20.100000000000001" customHeight="1">
      <c r="D54" s="48"/>
      <c r="E54" s="48"/>
      <c r="F54" s="176"/>
      <c r="L54" s="97"/>
      <c r="M54" s="97"/>
    </row>
    <row r="55" spans="4:13" ht="20.100000000000001" customHeight="1">
      <c r="D55" s="48"/>
      <c r="E55" s="48"/>
      <c r="F55" s="176"/>
      <c r="L55" s="97"/>
      <c r="M55" s="97"/>
    </row>
    <row r="56" spans="4:13" ht="20.100000000000001" customHeight="1">
      <c r="D56" s="48"/>
      <c r="E56" s="48"/>
      <c r="F56" s="176"/>
      <c r="L56" s="97"/>
      <c r="M56" s="97"/>
    </row>
    <row r="57" spans="4:13" ht="20.100000000000001" customHeight="1">
      <c r="D57" s="48"/>
      <c r="E57" s="48"/>
      <c r="F57" s="176"/>
      <c r="L57" s="97"/>
      <c r="M57" s="97"/>
    </row>
    <row r="58" spans="4:13" ht="20.100000000000001" customHeight="1">
      <c r="D58" s="48"/>
      <c r="E58" s="48"/>
      <c r="F58" s="176"/>
      <c r="L58" s="97"/>
      <c r="M58" s="97"/>
    </row>
    <row r="59" spans="4:13" ht="20.100000000000001" customHeight="1">
      <c r="D59" s="48"/>
      <c r="E59" s="48"/>
      <c r="F59" s="176"/>
      <c r="L59" s="97"/>
      <c r="M59" s="97"/>
    </row>
    <row r="60" spans="4:13" ht="20.100000000000001" customHeight="1">
      <c r="D60" s="48"/>
      <c r="E60" s="48"/>
      <c r="F60" s="176"/>
      <c r="L60" s="97"/>
      <c r="M60" s="97"/>
    </row>
    <row r="61" spans="4:13" ht="20.100000000000001" customHeight="1">
      <c r="D61" s="48"/>
      <c r="E61" s="48"/>
      <c r="F61" s="176"/>
      <c r="L61" s="97"/>
      <c r="M61" s="97"/>
    </row>
    <row r="62" spans="4:13" ht="20.100000000000001" customHeight="1">
      <c r="D62" s="48"/>
      <c r="E62" s="48"/>
      <c r="F62" s="176"/>
      <c r="L62" s="97"/>
      <c r="M62" s="97"/>
    </row>
    <row r="63" spans="4:13" ht="20.100000000000001" customHeight="1">
      <c r="D63" s="48"/>
      <c r="E63" s="48"/>
      <c r="F63" s="176"/>
      <c r="L63" s="97"/>
      <c r="M63" s="97"/>
    </row>
  </sheetData>
  <conditionalFormatting sqref="E4:K6">
    <cfRule type="cellIs" dxfId="23" priority="17" stopIfTrue="1" operator="lessThan">
      <formula>0</formula>
    </cfRule>
    <cfRule type="cellIs" dxfId="22" priority="18" stopIfTrue="1" operator="greaterThan">
      <formula>0</formula>
    </cfRule>
  </conditionalFormatting>
  <conditionalFormatting sqref="E7:K8">
    <cfRule type="cellIs" dxfId="21" priority="15" stopIfTrue="1" operator="lessThan">
      <formula>0</formula>
    </cfRule>
    <cfRule type="cellIs" dxfId="20" priority="16" stopIfTrue="1" operator="greaterThan">
      <formula>0</formula>
    </cfRule>
  </conditionalFormatting>
  <conditionalFormatting sqref="L18:M18">
    <cfRule type="cellIs" dxfId="19" priority="13" stopIfTrue="1" operator="lessThan">
      <formula>0</formula>
    </cfRule>
    <cfRule type="cellIs" dxfId="18" priority="14" stopIfTrue="1" operator="greaterThan">
      <formula>0</formula>
    </cfRule>
  </conditionalFormatting>
  <conditionalFormatting sqref="F18 N18 H18 J18">
    <cfRule type="cellIs" dxfId="17" priority="12" operator="greaterThan">
      <formula>0</formula>
    </cfRule>
  </conditionalFormatting>
  <conditionalFormatting sqref="E29 M29 K29 G29 I29">
    <cfRule type="cellIs" dxfId="16" priority="11" operator="greaterThan">
      <formula>0</formula>
    </cfRule>
  </conditionalFormatting>
  <conditionalFormatting sqref="E29:E30 M29:M30 G29:G30 I29:I30 K29:K30">
    <cfRule type="cellIs" dxfId="15" priority="8" operator="lessThan">
      <formula>0</formula>
    </cfRule>
    <cfRule type="cellIs" dxfId="14" priority="9" operator="equal">
      <formula>"n.v.t."</formula>
    </cfRule>
    <cfRule type="cellIs" dxfId="13" priority="10" operator="greaterThan">
      <formula>0</formula>
    </cfRule>
  </conditionalFormatting>
  <conditionalFormatting sqref="E43:E44 M43:M44 G43:G44 I43:I44 K43:K44">
    <cfRule type="cellIs" dxfId="12" priority="5" operator="equal">
      <formula>"n.v.t."</formula>
    </cfRule>
    <cfRule type="cellIs" dxfId="11" priority="6" operator="lessThan">
      <formula>0</formula>
    </cfRule>
    <cfRule type="cellIs" dxfId="10" priority="7" operator="greaterThan">
      <formula>0</formula>
    </cfRule>
  </conditionalFormatting>
  <conditionalFormatting sqref="E36 M36 K36 G36 I36">
    <cfRule type="cellIs" dxfId="9" priority="4" operator="greaterThan">
      <formula>0</formula>
    </cfRule>
  </conditionalFormatting>
  <conditionalFormatting sqref="E36:E37 M36:M37 G36:G37 I36:I37 K36:K37">
    <cfRule type="cellIs" dxfId="8" priority="1" operator="lessThan">
      <formula>0</formula>
    </cfRule>
    <cfRule type="cellIs" dxfId="7" priority="2" operator="equal">
      <formula>"n.v.t."</formula>
    </cfRule>
    <cfRule type="cellIs" dxfId="6" priority="3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tabColor theme="6" tint="0.39997558519241921"/>
  </sheetPr>
  <dimension ref="A1:I15"/>
  <sheetViews>
    <sheetView zoomScale="130" zoomScaleNormal="130" workbookViewId="0"/>
  </sheetViews>
  <sheetFormatPr defaultRowHeight="15" customHeight="1"/>
  <cols>
    <col min="1" max="1" width="1.7109375" style="95" customWidth="1"/>
    <col min="2" max="2" width="45.5703125" style="32" bestFit="1" customWidth="1"/>
    <col min="3" max="3" width="1.7109375" style="95" customWidth="1"/>
    <col min="4" max="4" width="15.7109375" style="95" customWidth="1"/>
    <col min="5" max="5" width="1.7109375" style="95" customWidth="1"/>
    <col min="6" max="6" width="15.7109375" style="95" customWidth="1"/>
    <col min="7" max="7" width="1.7109375" style="95" customWidth="1"/>
    <col min="8" max="8" width="15.7109375" style="95" customWidth="1"/>
    <col min="9" max="10" width="1.7109375" style="95" customWidth="1"/>
    <col min="11" max="16384" width="9.140625" style="95"/>
  </cols>
  <sheetData>
    <row r="1" spans="1:9" s="144" customFormat="1" ht="24.95" customHeight="1">
      <c r="A1" s="283"/>
      <c r="B1" s="284" t="s">
        <v>171</v>
      </c>
      <c r="C1" s="285"/>
      <c r="D1" s="287">
        <f>'V&amp;W'!E2</f>
        <v>2020</v>
      </c>
      <c r="E1" s="284"/>
      <c r="F1" s="287">
        <f>'V&amp;W'!G2</f>
        <v>2019</v>
      </c>
      <c r="G1" s="284"/>
      <c r="H1" s="287">
        <f>'V&amp;W'!I2</f>
        <v>2018</v>
      </c>
      <c r="I1" s="286"/>
    </row>
    <row r="2" spans="1:9" ht="9.9499999999999993" customHeight="1">
      <c r="A2" s="123"/>
      <c r="B2" s="77"/>
      <c r="C2" s="82"/>
      <c r="D2" s="124"/>
      <c r="E2" s="124"/>
      <c r="F2" s="124"/>
      <c r="G2" s="82"/>
      <c r="H2" s="124"/>
      <c r="I2" s="125"/>
    </row>
    <row r="3" spans="1:9" s="77" customFormat="1" ht="15" customHeight="1">
      <c r="A3" s="115"/>
      <c r="B3" s="77" t="s">
        <v>114</v>
      </c>
      <c r="C3" s="78"/>
      <c r="D3" s="126">
        <f>'V&amp;W'!E18</f>
        <v>2660</v>
      </c>
      <c r="E3" s="126"/>
      <c r="F3" s="126">
        <f>'V&amp;W'!G18</f>
        <v>2510</v>
      </c>
      <c r="G3" s="126"/>
      <c r="H3" s="126">
        <f>'V&amp;W'!I18</f>
        <v>2800</v>
      </c>
      <c r="I3" s="127"/>
    </row>
    <row r="4" spans="1:9" s="26" customFormat="1" ht="15" customHeight="1">
      <c r="A4" s="76"/>
      <c r="B4" s="128" t="s">
        <v>115</v>
      </c>
      <c r="C4" s="212" t="s">
        <v>16</v>
      </c>
      <c r="D4" s="90">
        <f>'V&amp;W'!E17</f>
        <v>305</v>
      </c>
      <c r="E4" s="90"/>
      <c r="F4" s="90">
        <f>'V&amp;W'!G17</f>
        <v>305</v>
      </c>
      <c r="G4" s="90"/>
      <c r="H4" s="90">
        <f>'V&amp;W'!I17</f>
        <v>340</v>
      </c>
      <c r="I4" s="81"/>
    </row>
    <row r="5" spans="1:9" s="26" customFormat="1" ht="15" customHeight="1">
      <c r="A5" s="76"/>
      <c r="B5" s="128" t="s">
        <v>116</v>
      </c>
      <c r="C5" s="212" t="s">
        <v>16</v>
      </c>
      <c r="D5" s="90">
        <v>0</v>
      </c>
      <c r="E5" s="90"/>
      <c r="F5" s="90">
        <v>0</v>
      </c>
      <c r="G5" s="90"/>
      <c r="H5" s="90">
        <v>0</v>
      </c>
      <c r="I5" s="81"/>
    </row>
    <row r="6" spans="1:9" ht="9.9499999999999993" customHeight="1">
      <c r="A6" s="123"/>
      <c r="B6" s="33"/>
      <c r="C6" s="129"/>
      <c r="D6" s="130"/>
      <c r="E6" s="130"/>
      <c r="F6" s="130"/>
      <c r="G6" s="129"/>
      <c r="H6" s="130"/>
      <c r="I6" s="125"/>
    </row>
    <row r="7" spans="1:9" ht="9.9499999999999993" customHeight="1">
      <c r="A7" s="123"/>
      <c r="B7" s="77"/>
      <c r="C7" s="82"/>
      <c r="D7" s="124"/>
      <c r="E7" s="124"/>
      <c r="F7" s="124"/>
      <c r="G7" s="82"/>
      <c r="H7" s="124"/>
      <c r="I7" s="125"/>
    </row>
    <row r="8" spans="1:9" s="32" customFormat="1" ht="15" customHeight="1">
      <c r="A8" s="115"/>
      <c r="B8" s="77" t="s">
        <v>172</v>
      </c>
      <c r="C8" s="78" t="s">
        <v>16</v>
      </c>
      <c r="D8" s="126">
        <f>SUM(D2:D6)</f>
        <v>2965</v>
      </c>
      <c r="E8" s="126"/>
      <c r="F8" s="126">
        <f>SUM(F2:F6)</f>
        <v>2815</v>
      </c>
      <c r="G8" s="78"/>
      <c r="H8" s="126">
        <f>SUM(H2:H6)</f>
        <v>3140</v>
      </c>
      <c r="I8" s="127"/>
    </row>
    <row r="9" spans="1:9" s="136" customFormat="1" ht="9.9499999999999993" customHeight="1">
      <c r="A9" s="123"/>
      <c r="B9" s="77"/>
      <c r="C9" s="82"/>
      <c r="D9" s="124"/>
      <c r="E9" s="124"/>
      <c r="F9" s="124"/>
      <c r="G9" s="82"/>
      <c r="H9" s="124"/>
      <c r="I9" s="125"/>
    </row>
    <row r="10" spans="1:9" s="26" customFormat="1" ht="15" customHeight="1">
      <c r="A10" s="76"/>
      <c r="B10" s="128" t="s">
        <v>17</v>
      </c>
      <c r="C10" s="212" t="s">
        <v>16</v>
      </c>
      <c r="D10" s="90">
        <f>IF(Balans!M11-Balans!O11&gt;0,Balans!M11-Balans!O11,0)</f>
        <v>20</v>
      </c>
      <c r="E10" s="90"/>
      <c r="F10" s="90">
        <f>IF(Balans!O11-Balans!Q11&gt;0,Balans!O11-Balans!Q11,0)</f>
        <v>0</v>
      </c>
      <c r="G10" s="90"/>
      <c r="H10" s="90">
        <f>IF(Balans!Q11-Balans!S11&gt;0,Balans!Q11-Balans!S11,0)</f>
        <v>0</v>
      </c>
      <c r="I10" s="81"/>
    </row>
    <row r="11" spans="1:9" s="26" customFormat="1" ht="15" customHeight="1">
      <c r="A11" s="76"/>
      <c r="B11" s="128" t="s">
        <v>18</v>
      </c>
      <c r="C11" s="212" t="s">
        <v>16</v>
      </c>
      <c r="D11" s="90">
        <f>IF(Balans!M11-Balans!O11&lt;0,Balans!M11-Balans!O11,0)</f>
        <v>0</v>
      </c>
      <c r="E11" s="90"/>
      <c r="F11" s="90">
        <f>IF(Balans!O11-Balans!Q11&lt;0,Balans!O11-Balans!Q11,0)</f>
        <v>-25</v>
      </c>
      <c r="G11" s="90"/>
      <c r="H11" s="90">
        <f>IF(Balans!Q11-Balans!S11&lt;0,Balans!Q11-Balans!S11,0)</f>
        <v>-930</v>
      </c>
      <c r="I11" s="81"/>
    </row>
    <row r="12" spans="1:9" ht="9.9499999999999993" customHeight="1">
      <c r="A12" s="123"/>
      <c r="B12" s="33"/>
      <c r="C12" s="129"/>
      <c r="D12" s="130"/>
      <c r="E12" s="130"/>
      <c r="F12" s="130"/>
      <c r="G12" s="129"/>
      <c r="H12" s="130"/>
      <c r="I12" s="125"/>
    </row>
    <row r="13" spans="1:9" ht="9.9499999999999993" customHeight="1">
      <c r="A13" s="123"/>
      <c r="B13" s="77"/>
      <c r="C13" s="82"/>
      <c r="D13" s="124"/>
      <c r="E13" s="124"/>
      <c r="F13" s="124"/>
      <c r="G13" s="82"/>
      <c r="H13" s="124"/>
      <c r="I13" s="125"/>
    </row>
    <row r="14" spans="1:9" s="32" customFormat="1" ht="15" customHeight="1">
      <c r="A14" s="115"/>
      <c r="B14" s="77" t="s">
        <v>173</v>
      </c>
      <c r="C14" s="78" t="s">
        <v>16</v>
      </c>
      <c r="D14" s="126">
        <f>SUM(D7:D12)</f>
        <v>2985</v>
      </c>
      <c r="E14" s="78"/>
      <c r="F14" s="126">
        <f t="shared" ref="F14" si="0">SUM(F7:F12)</f>
        <v>2790</v>
      </c>
      <c r="G14" s="78"/>
      <c r="H14" s="126">
        <f t="shared" ref="H14" si="1">SUM(H7:H12)</f>
        <v>2210</v>
      </c>
      <c r="I14" s="127"/>
    </row>
    <row r="15" spans="1:9" ht="9.9499999999999993" customHeight="1">
      <c r="A15" s="131"/>
      <c r="B15" s="33"/>
      <c r="C15" s="129"/>
      <c r="D15" s="130"/>
      <c r="E15" s="130"/>
      <c r="F15" s="130"/>
      <c r="G15" s="129"/>
      <c r="H15" s="130"/>
      <c r="I15" s="132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theme="6" tint="0.39997558519241921"/>
  </sheetPr>
  <dimension ref="A1:J36"/>
  <sheetViews>
    <sheetView zoomScale="120" zoomScaleNormal="120" workbookViewId="0"/>
  </sheetViews>
  <sheetFormatPr defaultRowHeight="15" customHeight="1"/>
  <cols>
    <col min="1" max="2" width="1.7109375" style="95" customWidth="1"/>
    <col min="3" max="3" width="39.7109375" style="95" bestFit="1" customWidth="1"/>
    <col min="4" max="4" width="1.7109375" style="95" customWidth="1"/>
    <col min="5" max="5" width="12.7109375" style="95" customWidth="1"/>
    <col min="6" max="6" width="1.7109375" style="95" customWidth="1"/>
    <col min="7" max="7" width="12.7109375" style="95" customWidth="1"/>
    <col min="8" max="8" width="1.7109375" style="95" customWidth="1"/>
    <col min="9" max="9" width="12.7109375" style="95" customWidth="1"/>
    <col min="10" max="10" width="1.7109375" style="95" customWidth="1"/>
    <col min="11" max="16384" width="9.140625" style="95"/>
  </cols>
  <sheetData>
    <row r="1" spans="1:10" ht="9.9499999999999993" customHeight="1" thickBot="1">
      <c r="B1" s="148"/>
      <c r="C1" s="148"/>
      <c r="D1" s="148"/>
      <c r="E1" s="148"/>
      <c r="F1" s="148"/>
      <c r="G1" s="148"/>
      <c r="H1" s="148"/>
      <c r="I1" s="148"/>
      <c r="J1" s="148"/>
    </row>
    <row r="2" spans="1:10" s="144" customFormat="1" ht="30" customHeight="1">
      <c r="B2" s="146"/>
      <c r="C2" s="146" t="s">
        <v>181</v>
      </c>
      <c r="D2" s="147"/>
      <c r="E2" s="149">
        <f>Balans!C2</f>
        <v>2020</v>
      </c>
      <c r="F2" s="149"/>
      <c r="G2" s="149">
        <f>Balans!E2</f>
        <v>2019</v>
      </c>
      <c r="H2" s="149">
        <f>Balans!F2</f>
        <v>0</v>
      </c>
      <c r="I2" s="149">
        <f>Balans!G2</f>
        <v>2018</v>
      </c>
      <c r="J2" s="149"/>
    </row>
    <row r="3" spans="1:10" s="144" customFormat="1" ht="5.0999999999999996" customHeight="1">
      <c r="D3" s="145"/>
    </row>
    <row r="4" spans="1:10" s="26" customFormat="1" ht="9.9499999999999993" customHeight="1">
      <c r="A4" s="47"/>
      <c r="B4" s="47"/>
      <c r="C4" s="47"/>
      <c r="D4" s="158"/>
      <c r="E4" s="90"/>
      <c r="F4" s="90"/>
      <c r="G4" s="90"/>
      <c r="H4" s="90"/>
      <c r="I4" s="90"/>
      <c r="J4" s="90"/>
    </row>
    <row r="5" spans="1:10" s="77" customFormat="1" ht="15" customHeight="1">
      <c r="C5" s="77" t="s">
        <v>114</v>
      </c>
      <c r="D5" s="78"/>
      <c r="E5" s="126">
        <f>'V&amp;W'!E18</f>
        <v>2660</v>
      </c>
      <c r="F5" s="126"/>
      <c r="G5" s="126">
        <f>'V&amp;W'!G18</f>
        <v>2510</v>
      </c>
      <c r="H5" s="126"/>
      <c r="I5" s="126">
        <f>'V&amp;W'!I18</f>
        <v>2800</v>
      </c>
      <c r="J5" s="126"/>
    </row>
    <row r="6" spans="1:10" s="77" customFormat="1" ht="9.9499999999999993" customHeight="1">
      <c r="D6" s="78"/>
      <c r="E6" s="126"/>
      <c r="F6" s="126"/>
      <c r="G6" s="126"/>
      <c r="H6" s="126"/>
      <c r="I6" s="126"/>
      <c r="J6" s="126"/>
    </row>
    <row r="7" spans="1:10" s="26" customFormat="1" ht="15" customHeight="1">
      <c r="A7" s="47"/>
      <c r="B7" s="47"/>
      <c r="C7" s="128" t="s">
        <v>99</v>
      </c>
      <c r="D7" s="158" t="s">
        <v>16</v>
      </c>
      <c r="E7" s="90">
        <f>'V&amp;W'!E17</f>
        <v>305</v>
      </c>
      <c r="F7" s="90"/>
      <c r="G7" s="90">
        <f>'V&amp;W'!G17</f>
        <v>305</v>
      </c>
      <c r="H7" s="90"/>
      <c r="I7" s="90">
        <f>'V&amp;W'!I17</f>
        <v>340</v>
      </c>
      <c r="J7" s="90"/>
    </row>
    <row r="8" spans="1:10" s="26" customFormat="1" ht="15" customHeight="1">
      <c r="A8" s="47"/>
      <c r="B8" s="47"/>
      <c r="C8" s="420" t="s">
        <v>182</v>
      </c>
      <c r="D8" s="158" t="s">
        <v>16</v>
      </c>
      <c r="E8" s="46">
        <v>0</v>
      </c>
      <c r="F8" s="46"/>
      <c r="G8" s="46">
        <v>0</v>
      </c>
      <c r="H8" s="46"/>
      <c r="I8" s="46">
        <v>0</v>
      </c>
      <c r="J8" s="46"/>
    </row>
    <row r="9" spans="1:10" s="32" customFormat="1" ht="15" customHeight="1">
      <c r="A9" s="77"/>
      <c r="B9" s="77"/>
      <c r="C9" s="77" t="s">
        <v>172</v>
      </c>
      <c r="D9" s="78"/>
      <c r="E9" s="126">
        <f>SUM(E5:E8)</f>
        <v>2965</v>
      </c>
      <c r="F9" s="126"/>
      <c r="G9" s="126">
        <f>SUM(G5:G8)</f>
        <v>2815</v>
      </c>
      <c r="H9" s="126"/>
      <c r="I9" s="126">
        <f>SUM(I5:I8)</f>
        <v>3140</v>
      </c>
      <c r="J9" s="126"/>
    </row>
    <row r="10" spans="1:10" s="32" customFormat="1" ht="9.9499999999999993" customHeight="1">
      <c r="A10" s="77"/>
      <c r="B10" s="77"/>
      <c r="C10" s="77"/>
      <c r="D10" s="78"/>
      <c r="E10" s="126"/>
      <c r="F10" s="126"/>
      <c r="G10" s="126"/>
      <c r="H10" s="126"/>
      <c r="I10" s="126"/>
      <c r="J10" s="126"/>
    </row>
    <row r="11" spans="1:10" s="26" customFormat="1" ht="15" customHeight="1">
      <c r="A11" s="47"/>
      <c r="B11" s="47"/>
      <c r="C11" s="128" t="s">
        <v>17</v>
      </c>
      <c r="D11" s="158" t="s">
        <v>16</v>
      </c>
      <c r="E11" s="90">
        <f>Balans!M9-Balans!O9</f>
        <v>20</v>
      </c>
      <c r="F11" s="90"/>
      <c r="G11" s="90">
        <f>Balans!O9-Balans!Q9</f>
        <v>20</v>
      </c>
      <c r="H11" s="90"/>
      <c r="I11" s="90">
        <f>Balans!Q9-Balans!S9</f>
        <v>20</v>
      </c>
      <c r="J11" s="90"/>
    </row>
    <row r="12" spans="1:10" s="26" customFormat="1" ht="15" customHeight="1">
      <c r="A12" s="47"/>
      <c r="B12" s="47"/>
      <c r="C12" s="98" t="s">
        <v>18</v>
      </c>
      <c r="D12" s="158" t="s">
        <v>16</v>
      </c>
      <c r="E12" s="46">
        <f>Balans!M10-Balans!O10</f>
        <v>0</v>
      </c>
      <c r="F12" s="46"/>
      <c r="G12" s="46">
        <f>Balans!O10-Balans!Q10</f>
        <v>-45</v>
      </c>
      <c r="H12" s="46"/>
      <c r="I12" s="46">
        <f>Balans!Q10-Balans!S10</f>
        <v>-950</v>
      </c>
      <c r="J12" s="46"/>
    </row>
    <row r="13" spans="1:10" s="32" customFormat="1" ht="15" customHeight="1">
      <c r="A13" s="77"/>
      <c r="B13" s="77"/>
      <c r="C13" s="77" t="s">
        <v>183</v>
      </c>
      <c r="D13" s="78"/>
      <c r="E13" s="126">
        <f>SUM(E9:E12)</f>
        <v>2985</v>
      </c>
      <c r="F13" s="126"/>
      <c r="G13" s="126">
        <f>SUM(G9:G12)</f>
        <v>2790</v>
      </c>
      <c r="H13" s="126"/>
      <c r="I13" s="126">
        <f>SUM(I9:I12)</f>
        <v>2210</v>
      </c>
      <c r="J13" s="126"/>
    </row>
    <row r="14" spans="1:10" s="32" customFormat="1" ht="9.9499999999999993" customHeight="1">
      <c r="A14" s="77"/>
      <c r="B14" s="77"/>
      <c r="C14" s="77"/>
      <c r="D14" s="78"/>
      <c r="E14" s="126"/>
      <c r="F14" s="126"/>
      <c r="G14" s="126"/>
      <c r="H14" s="126"/>
      <c r="I14" s="126"/>
      <c r="J14" s="126"/>
    </row>
    <row r="15" spans="1:10" s="26" customFormat="1" ht="15" customHeight="1">
      <c r="A15" s="47"/>
      <c r="B15" s="47"/>
      <c r="C15" s="47" t="s">
        <v>102</v>
      </c>
      <c r="D15" s="158" t="s">
        <v>16</v>
      </c>
      <c r="E15" s="90">
        <f>Balans!E18-Balans!C18</f>
        <v>30</v>
      </c>
      <c r="F15" s="90"/>
      <c r="G15" s="90">
        <f>Balans!G18-Balans!E18</f>
        <v>-50</v>
      </c>
      <c r="H15" s="90"/>
      <c r="I15" s="90">
        <f>Balans!I18-Balans!G18</f>
        <v>-100</v>
      </c>
      <c r="J15" s="90"/>
    </row>
    <row r="16" spans="1:10" s="26" customFormat="1" ht="15" customHeight="1">
      <c r="A16" s="47"/>
      <c r="B16" s="47"/>
      <c r="C16" s="47" t="s">
        <v>103</v>
      </c>
      <c r="D16" s="158" t="s">
        <v>16</v>
      </c>
      <c r="E16" s="90">
        <f>Balans!E19-Balans!C19</f>
        <v>1900</v>
      </c>
      <c r="F16" s="90"/>
      <c r="G16" s="90">
        <f>Balans!G19-Balans!E19</f>
        <v>-600</v>
      </c>
      <c r="H16" s="90"/>
      <c r="I16" s="90">
        <f>Balans!I19-Balans!G19</f>
        <v>-550</v>
      </c>
      <c r="J16" s="90"/>
    </row>
    <row r="17" spans="1:10" s="26" customFormat="1" ht="15" customHeight="1">
      <c r="A17" s="47"/>
      <c r="B17" s="47"/>
      <c r="C17" s="47" t="s">
        <v>101</v>
      </c>
      <c r="D17" s="158" t="s">
        <v>16</v>
      </c>
      <c r="E17" s="90">
        <f>Balans!E20-Balans!C20</f>
        <v>-95</v>
      </c>
      <c r="F17" s="90"/>
      <c r="G17" s="90">
        <f>Balans!G20-Balans!E20</f>
        <v>-20</v>
      </c>
      <c r="H17" s="90"/>
      <c r="I17" s="90">
        <f>Balans!I20-Balans!G20</f>
        <v>-290</v>
      </c>
      <c r="J17" s="90"/>
    </row>
    <row r="18" spans="1:10" s="26" customFormat="1" ht="15" customHeight="1">
      <c r="A18" s="47"/>
      <c r="B18" s="47"/>
      <c r="C18" s="47" t="s">
        <v>104</v>
      </c>
      <c r="D18" s="158" t="s">
        <v>16</v>
      </c>
      <c r="E18" s="90">
        <f>Balans!E21-Balans!C21</f>
        <v>620</v>
      </c>
      <c r="F18" s="90"/>
      <c r="G18" s="90">
        <f>Balans!G21-Balans!E21</f>
        <v>-120</v>
      </c>
      <c r="H18" s="90"/>
      <c r="I18" s="90">
        <f>Balans!I21-Balans!G21</f>
        <v>-490</v>
      </c>
      <c r="J18" s="90"/>
    </row>
    <row r="19" spans="1:10" s="26" customFormat="1" ht="15" customHeight="1">
      <c r="A19" s="47"/>
      <c r="B19" s="47"/>
      <c r="C19" s="47" t="s">
        <v>105</v>
      </c>
      <c r="D19" s="158" t="s">
        <v>16</v>
      </c>
      <c r="E19" s="90">
        <f>Balans!E22-Balans!C22</f>
        <v>0</v>
      </c>
      <c r="F19" s="90"/>
      <c r="G19" s="90">
        <f>Balans!G22-Balans!E22</f>
        <v>0</v>
      </c>
      <c r="H19" s="90"/>
      <c r="I19" s="90">
        <f>Balans!I22-Balans!G22</f>
        <v>-70</v>
      </c>
      <c r="J19" s="90"/>
    </row>
    <row r="20" spans="1:10" s="26" customFormat="1" ht="15" customHeight="1">
      <c r="A20" s="47"/>
      <c r="B20" s="47"/>
      <c r="C20" s="47" t="s">
        <v>106</v>
      </c>
      <c r="D20" s="158" t="s">
        <v>16</v>
      </c>
      <c r="E20" s="90">
        <f>Balans!M22-Balans!O22</f>
        <v>-2025</v>
      </c>
      <c r="F20" s="90"/>
      <c r="G20" s="90">
        <f>Balans!O22-Balans!Q22</f>
        <v>1075</v>
      </c>
      <c r="H20" s="90"/>
      <c r="I20" s="90">
        <f>Balans!Q22-Balans!S22</f>
        <v>500</v>
      </c>
      <c r="J20" s="90"/>
    </row>
    <row r="21" spans="1:10" s="26" customFormat="1" ht="15" customHeight="1">
      <c r="A21" s="47"/>
      <c r="B21" s="47"/>
      <c r="C21" s="84" t="s">
        <v>107</v>
      </c>
      <c r="D21" s="158" t="s">
        <v>16</v>
      </c>
      <c r="E21" s="46">
        <f>Balans!M23-Balans!O23</f>
        <v>65</v>
      </c>
      <c r="F21" s="46"/>
      <c r="G21" s="46">
        <f>Balans!O23-Balans!Q23</f>
        <v>-90</v>
      </c>
      <c r="H21" s="46"/>
      <c r="I21" s="46">
        <f>Balans!Q23-Balans!S23</f>
        <v>135</v>
      </c>
      <c r="J21" s="46"/>
    </row>
    <row r="22" spans="1:10" s="26" customFormat="1" ht="9.9499999999999993" customHeight="1">
      <c r="A22" s="47"/>
      <c r="B22" s="47"/>
      <c r="C22" s="47"/>
      <c r="D22" s="158"/>
      <c r="E22" s="90"/>
      <c r="F22" s="90"/>
      <c r="G22" s="90"/>
      <c r="H22" s="90"/>
      <c r="I22" s="90"/>
      <c r="J22" s="90"/>
    </row>
    <row r="23" spans="1:10" s="32" customFormat="1" ht="15" customHeight="1">
      <c r="A23" s="77"/>
      <c r="B23" s="77"/>
      <c r="C23" s="77" t="s">
        <v>185</v>
      </c>
      <c r="D23" s="78"/>
      <c r="E23" s="126">
        <f>SUM(E13:E21)</f>
        <v>3480</v>
      </c>
      <c r="F23" s="126"/>
      <c r="G23" s="126">
        <f>SUM(G13:G21)</f>
        <v>2985</v>
      </c>
      <c r="H23" s="126"/>
      <c r="I23" s="126">
        <f>SUM(I13:I21)</f>
        <v>1345</v>
      </c>
      <c r="J23" s="126"/>
    </row>
    <row r="24" spans="1:10" s="26" customFormat="1" ht="9.9499999999999993" customHeight="1" thickBot="1">
      <c r="A24" s="47"/>
      <c r="B24" s="27"/>
      <c r="C24" s="27"/>
      <c r="D24" s="31"/>
      <c r="E24" s="61"/>
      <c r="F24" s="61"/>
      <c r="G24" s="61"/>
      <c r="H24" s="61"/>
      <c r="I24" s="61"/>
      <c r="J24" s="61"/>
    </row>
    <row r="25" spans="1:10" s="26" customFormat="1" ht="9.9499999999999993" customHeight="1">
      <c r="A25" s="47"/>
    </row>
    <row r="26" spans="1:10" s="156" customFormat="1" ht="15" customHeight="1">
      <c r="A26" s="166"/>
    </row>
    <row r="27" spans="1:10" s="26" customFormat="1" ht="15" customHeight="1">
      <c r="A27" s="47"/>
    </row>
    <row r="28" spans="1:10" s="26" customFormat="1" ht="15" customHeight="1">
      <c r="A28" s="47"/>
    </row>
    <row r="29" spans="1:10" s="32" customFormat="1" ht="15" customHeight="1">
      <c r="A29" s="77"/>
    </row>
    <row r="30" spans="1:10" s="26" customFormat="1" ht="15" customHeight="1"/>
    <row r="31" spans="1:10" s="26" customFormat="1" ht="15" customHeight="1"/>
    <row r="32" spans="1:10" s="26" customFormat="1" ht="15" customHeight="1"/>
    <row r="33" s="26" customFormat="1" ht="15" customHeight="1"/>
    <row r="34" s="26" customFormat="1" ht="15" customHeight="1"/>
    <row r="35" s="26" customFormat="1" ht="15" customHeight="1"/>
    <row r="36" s="26" customFormat="1" ht="1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tabColor theme="6" tint="0.39997558519241921"/>
  </sheetPr>
  <dimension ref="B1:V50"/>
  <sheetViews>
    <sheetView topLeftCell="A4" zoomScale="110" zoomScaleNormal="110" workbookViewId="0">
      <selection activeCell="I18" sqref="I18"/>
    </sheetView>
  </sheetViews>
  <sheetFormatPr defaultRowHeight="20.100000000000001" customHeight="1"/>
  <cols>
    <col min="1" max="1" width="1.7109375" style="26" customWidth="1"/>
    <col min="2" max="2" width="2.140625" style="176" bestFit="1" customWidth="1"/>
    <col min="3" max="3" width="41.28515625" style="37" bestFit="1" customWidth="1"/>
    <col min="4" max="4" width="1.7109375" style="38" customWidth="1"/>
    <col min="5" max="5" width="9.42578125" style="58" bestFit="1" customWidth="1"/>
    <col min="6" max="6" width="1.7109375" style="165" customWidth="1"/>
    <col min="7" max="7" width="9.42578125" style="58" bestFit="1" customWidth="1"/>
    <col min="8" max="8" width="1.7109375" style="165" customWidth="1"/>
    <col min="9" max="9" width="10.42578125" style="58" bestFit="1" customWidth="1"/>
    <col min="10" max="10" width="1.7109375" style="26" customWidth="1"/>
    <col min="11" max="11" width="10.42578125" style="342" bestFit="1" customWidth="1"/>
    <col min="12" max="12" width="1.7109375" style="342" customWidth="1"/>
    <col min="13" max="13" width="9.85546875" style="342" bestFit="1" customWidth="1"/>
    <col min="14" max="14" width="1.7109375" style="342" customWidth="1"/>
    <col min="15" max="15" width="9.140625" style="342"/>
    <col min="16" max="16" width="1.7109375" style="342" customWidth="1"/>
    <col min="17" max="17" width="10.42578125" style="342" bestFit="1" customWidth="1"/>
    <col min="18" max="22" width="9.140625" style="342"/>
    <col min="23" max="16384" width="9.140625" style="26"/>
  </cols>
  <sheetData>
    <row r="1" spans="2:22" ht="9.9499999999999993" customHeight="1" thickBot="1">
      <c r="B1" s="273"/>
      <c r="C1" s="28"/>
      <c r="D1" s="29"/>
      <c r="E1" s="30"/>
      <c r="F1" s="31"/>
      <c r="G1" s="30"/>
      <c r="H1" s="31"/>
      <c r="I1" s="30"/>
      <c r="J1" s="27"/>
    </row>
    <row r="2" spans="2:22" s="32" customFormat="1" ht="20.100000000000001" customHeight="1">
      <c r="B2" s="274"/>
      <c r="C2" s="34" t="s">
        <v>48</v>
      </c>
      <c r="D2" s="35"/>
      <c r="E2" s="174">
        <f>Balans!C2</f>
        <v>2020</v>
      </c>
      <c r="F2" s="36"/>
      <c r="G2" s="174">
        <f>Balans!E2</f>
        <v>2019</v>
      </c>
      <c r="H2" s="36"/>
      <c r="I2" s="174">
        <f>Balans!G2</f>
        <v>2018</v>
      </c>
      <c r="J2" s="3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2:22" ht="9.9499999999999993" customHeight="1">
      <c r="E3" s="39"/>
      <c r="F3" s="40"/>
      <c r="G3" s="39"/>
      <c r="H3" s="40"/>
      <c r="I3" s="39"/>
      <c r="J3" s="41"/>
    </row>
    <row r="4" spans="2:22" ht="20.100000000000001" customHeight="1">
      <c r="C4" s="37" t="s">
        <v>49</v>
      </c>
      <c r="E4" s="39">
        <v>47850</v>
      </c>
      <c r="F4" s="40"/>
      <c r="G4" s="39">
        <v>45370</v>
      </c>
      <c r="H4" s="40"/>
      <c r="I4" s="39">
        <v>49480</v>
      </c>
      <c r="J4" s="41"/>
    </row>
    <row r="5" spans="2:22" ht="20.100000000000001" customHeight="1">
      <c r="C5" s="42" t="s">
        <v>50</v>
      </c>
      <c r="D5" s="43"/>
      <c r="E5" s="44">
        <v>6330</v>
      </c>
      <c r="F5" s="45"/>
      <c r="G5" s="44">
        <v>5290</v>
      </c>
      <c r="H5" s="45"/>
      <c r="I5" s="44">
        <v>5930</v>
      </c>
      <c r="J5" s="46"/>
    </row>
    <row r="6" spans="2:22" s="32" customFormat="1" ht="20.100000000000001" customHeight="1">
      <c r="B6" s="176"/>
      <c r="C6" s="48" t="s">
        <v>55</v>
      </c>
      <c r="D6" s="49"/>
      <c r="E6" s="50">
        <f>E4-E5</f>
        <v>41520</v>
      </c>
      <c r="F6" s="50"/>
      <c r="G6" s="50">
        <f>G4-G5</f>
        <v>40080</v>
      </c>
      <c r="H6" s="50"/>
      <c r="I6" s="50">
        <f>I4-I5</f>
        <v>43550</v>
      </c>
      <c r="J6" s="52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</row>
    <row r="7" spans="2:22" ht="9.9499999999999993" customHeight="1">
      <c r="E7" s="39"/>
      <c r="F7" s="40"/>
      <c r="G7" s="39"/>
      <c r="H7" s="40"/>
      <c r="I7" s="39"/>
      <c r="J7" s="41"/>
    </row>
    <row r="8" spans="2:22" ht="20.100000000000001" customHeight="1">
      <c r="C8" s="37" t="s">
        <v>5</v>
      </c>
      <c r="E8" s="39">
        <v>33250</v>
      </c>
      <c r="F8" s="40"/>
      <c r="G8" s="39">
        <v>32280</v>
      </c>
      <c r="H8" s="40"/>
      <c r="I8" s="39">
        <v>36110</v>
      </c>
      <c r="J8" s="41"/>
      <c r="L8" s="344"/>
      <c r="M8" s="345"/>
      <c r="N8" s="344"/>
      <c r="O8" s="345"/>
      <c r="P8" s="344"/>
    </row>
    <row r="9" spans="2:22" ht="20.100000000000001" customHeight="1">
      <c r="B9" s="290" t="s">
        <v>4</v>
      </c>
      <c r="C9" s="42" t="s">
        <v>6</v>
      </c>
      <c r="D9" s="43"/>
      <c r="E9" s="44">
        <v>60</v>
      </c>
      <c r="F9" s="45"/>
      <c r="G9" s="44">
        <v>50</v>
      </c>
      <c r="H9" s="45"/>
      <c r="I9" s="44">
        <v>70</v>
      </c>
      <c r="J9" s="46"/>
    </row>
    <row r="10" spans="2:22" s="32" customFormat="1" ht="20.100000000000001" customHeight="1">
      <c r="B10" s="291"/>
      <c r="C10" s="48" t="s">
        <v>10</v>
      </c>
      <c r="D10" s="49"/>
      <c r="E10" s="50">
        <f>E6-E8-E9</f>
        <v>8210</v>
      </c>
      <c r="F10" s="50"/>
      <c r="G10" s="50">
        <f>G6-G8-G9</f>
        <v>7750</v>
      </c>
      <c r="H10" s="50"/>
      <c r="I10" s="50">
        <f>I6-I8-I9</f>
        <v>7370</v>
      </c>
      <c r="J10" s="52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</row>
    <row r="11" spans="2:22" ht="9.9499999999999993" customHeight="1">
      <c r="B11" s="175"/>
      <c r="E11" s="39"/>
      <c r="F11" s="40"/>
      <c r="G11" s="39"/>
      <c r="H11" s="40"/>
      <c r="I11" s="39"/>
      <c r="J11" s="41"/>
    </row>
    <row r="12" spans="2:22" ht="20.100000000000001" customHeight="1">
      <c r="C12" s="37" t="s">
        <v>56</v>
      </c>
      <c r="E12" s="39">
        <v>4250</v>
      </c>
      <c r="F12" s="40"/>
      <c r="G12" s="39">
        <v>3990</v>
      </c>
      <c r="H12" s="40"/>
      <c r="I12" s="39">
        <v>3360</v>
      </c>
      <c r="J12" s="41"/>
    </row>
    <row r="13" spans="2:22" ht="20.100000000000001" customHeight="1">
      <c r="B13" s="290" t="s">
        <v>4</v>
      </c>
      <c r="C13" s="42" t="s">
        <v>9</v>
      </c>
      <c r="D13" s="43"/>
      <c r="E13" s="44">
        <v>995</v>
      </c>
      <c r="F13" s="45"/>
      <c r="G13" s="44">
        <v>945</v>
      </c>
      <c r="H13" s="45"/>
      <c r="I13" s="44">
        <v>870</v>
      </c>
      <c r="J13" s="46"/>
    </row>
    <row r="14" spans="2:22" ht="20.100000000000001" customHeight="1">
      <c r="B14" s="291"/>
      <c r="C14" s="37" t="s">
        <v>110</v>
      </c>
      <c r="E14" s="39">
        <f>SUM(E11:E13)</f>
        <v>5245</v>
      </c>
      <c r="F14" s="40"/>
      <c r="G14" s="39">
        <f>SUM(G11:G13)</f>
        <v>4935</v>
      </c>
      <c r="H14" s="40"/>
      <c r="I14" s="39">
        <f>SUM(I11:I13)</f>
        <v>4230</v>
      </c>
      <c r="J14" s="41"/>
    </row>
    <row r="15" spans="2:22" ht="9.9499999999999993" customHeight="1">
      <c r="B15" s="175"/>
      <c r="E15" s="39"/>
      <c r="F15" s="40"/>
      <c r="G15" s="39"/>
      <c r="H15" s="40"/>
      <c r="I15" s="39"/>
      <c r="J15" s="41"/>
    </row>
    <row r="16" spans="2:22" s="32" customFormat="1" ht="20.100000000000001" customHeight="1">
      <c r="B16" s="176"/>
      <c r="C16" s="48" t="s">
        <v>57</v>
      </c>
      <c r="D16" s="49"/>
      <c r="E16" s="50">
        <f>E10-E14</f>
        <v>2965</v>
      </c>
      <c r="F16" s="51"/>
      <c r="G16" s="50">
        <f>G10-G14</f>
        <v>2815</v>
      </c>
      <c r="H16" s="50"/>
      <c r="I16" s="50">
        <f>I10-I14</f>
        <v>3140</v>
      </c>
      <c r="J16" s="52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</row>
    <row r="17" spans="2:22" ht="20.100000000000001" customHeight="1">
      <c r="B17" s="290" t="s">
        <v>4</v>
      </c>
      <c r="C17" s="42" t="s">
        <v>58</v>
      </c>
      <c r="D17" s="43"/>
      <c r="E17" s="44">
        <f>Balans!E11-Balans!C11</f>
        <v>305</v>
      </c>
      <c r="F17" s="45"/>
      <c r="G17" s="44">
        <f>Balans!G11-Balans!E11</f>
        <v>305</v>
      </c>
      <c r="H17" s="45"/>
      <c r="I17" s="44">
        <v>340</v>
      </c>
      <c r="J17" s="46"/>
    </row>
    <row r="18" spans="2:22" s="32" customFormat="1" ht="20.100000000000001" customHeight="1">
      <c r="B18" s="291"/>
      <c r="C18" s="48" t="s">
        <v>168</v>
      </c>
      <c r="D18" s="49"/>
      <c r="E18" s="50">
        <f>E16-E17</f>
        <v>2660</v>
      </c>
      <c r="F18" s="51"/>
      <c r="G18" s="50">
        <f>G16-G17</f>
        <v>2510</v>
      </c>
      <c r="H18" s="50"/>
      <c r="I18" s="50">
        <f>I16-I17</f>
        <v>2800</v>
      </c>
      <c r="J18" s="52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</row>
    <row r="19" spans="2:22" ht="9.9499999999999993" customHeight="1">
      <c r="B19" s="275"/>
      <c r="E19" s="39"/>
      <c r="F19" s="40"/>
      <c r="G19" s="39"/>
      <c r="H19" s="40"/>
      <c r="I19" s="39"/>
      <c r="J19" s="41"/>
    </row>
    <row r="20" spans="2:22" ht="20.100000000000001" customHeight="1">
      <c r="C20" s="37" t="s">
        <v>7</v>
      </c>
      <c r="E20" s="39">
        <v>5</v>
      </c>
      <c r="F20" s="40"/>
      <c r="G20" s="39">
        <v>10</v>
      </c>
      <c r="H20" s="40"/>
      <c r="I20" s="39">
        <v>5</v>
      </c>
      <c r="J20" s="41"/>
    </row>
    <row r="21" spans="2:22" ht="20.100000000000001" customHeight="1">
      <c r="B21" s="290" t="s">
        <v>4</v>
      </c>
      <c r="C21" s="42" t="s">
        <v>8</v>
      </c>
      <c r="D21" s="43"/>
      <c r="E21" s="44">
        <f>725+270</f>
        <v>995</v>
      </c>
      <c r="F21" s="45"/>
      <c r="G21" s="44">
        <f>760+325</f>
        <v>1085</v>
      </c>
      <c r="H21" s="45"/>
      <c r="I21" s="44">
        <f>665+320</f>
        <v>985</v>
      </c>
      <c r="J21" s="46"/>
    </row>
    <row r="22" spans="2:22" ht="20.100000000000001" customHeight="1">
      <c r="B22" s="291"/>
      <c r="C22" s="37" t="s">
        <v>11</v>
      </c>
      <c r="E22" s="39">
        <f>E20-E21</f>
        <v>-990</v>
      </c>
      <c r="F22" s="40"/>
      <c r="G22" s="39">
        <f>G20-G21</f>
        <v>-1075</v>
      </c>
      <c r="H22" s="40"/>
      <c r="I22" s="39">
        <f>I20-I21</f>
        <v>-980</v>
      </c>
      <c r="J22" s="41"/>
    </row>
    <row r="23" spans="2:22" ht="9.9499999999999993" customHeight="1">
      <c r="E23" s="39"/>
      <c r="F23" s="40"/>
      <c r="G23" s="39"/>
      <c r="H23" s="40"/>
      <c r="I23" s="39"/>
      <c r="J23" s="41"/>
    </row>
    <row r="24" spans="2:22" s="32" customFormat="1" ht="20.100000000000001" customHeight="1">
      <c r="B24" s="176"/>
      <c r="C24" s="48" t="s">
        <v>169</v>
      </c>
      <c r="D24" s="49"/>
      <c r="E24" s="50">
        <f>E18+E22</f>
        <v>1670</v>
      </c>
      <c r="F24" s="51"/>
      <c r="G24" s="50">
        <f>G18+G22</f>
        <v>1435</v>
      </c>
      <c r="H24" s="50"/>
      <c r="I24" s="50">
        <f>I18+I22</f>
        <v>1820</v>
      </c>
      <c r="J24" s="52"/>
      <c r="K24" s="343"/>
      <c r="L24" s="346"/>
      <c r="M24" s="346"/>
      <c r="N24" s="346"/>
      <c r="O24" s="346"/>
      <c r="P24" s="346"/>
      <c r="Q24" s="346"/>
      <c r="R24" s="343"/>
      <c r="S24" s="343"/>
      <c r="T24" s="343"/>
      <c r="U24" s="343"/>
      <c r="V24" s="343"/>
    </row>
    <row r="25" spans="2:22" ht="9.9499999999999993" customHeight="1">
      <c r="E25" s="39"/>
      <c r="F25" s="40"/>
      <c r="G25" s="39"/>
      <c r="H25" s="40"/>
      <c r="I25" s="39"/>
      <c r="J25" s="41"/>
      <c r="L25" s="347"/>
      <c r="M25" s="347"/>
      <c r="N25" s="347"/>
      <c r="O25" s="347"/>
      <c r="P25" s="347"/>
      <c r="Q25" s="347"/>
    </row>
    <row r="26" spans="2:22" ht="20.100000000000001" customHeight="1">
      <c r="B26" s="290" t="s">
        <v>4</v>
      </c>
      <c r="C26" s="321" t="s">
        <v>117</v>
      </c>
      <c r="D26" s="43"/>
      <c r="E26" s="44">
        <f>MROUND(25%*E24,5)</f>
        <v>420</v>
      </c>
      <c r="F26" s="45"/>
      <c r="G26" s="44">
        <f>MROUND(25%*G24,5)</f>
        <v>360</v>
      </c>
      <c r="H26" s="45"/>
      <c r="I26" s="44">
        <f>MROUND(25%*I24,5)</f>
        <v>455</v>
      </c>
      <c r="J26" s="46"/>
      <c r="K26" s="348"/>
      <c r="L26" s="349"/>
      <c r="M26" s="348"/>
      <c r="N26" s="348"/>
      <c r="O26" s="348"/>
      <c r="P26" s="347"/>
      <c r="Q26" s="347"/>
    </row>
    <row r="27" spans="2:22" s="32" customFormat="1" ht="20.100000000000001" customHeight="1">
      <c r="B27" s="291"/>
      <c r="C27" s="48" t="s">
        <v>170</v>
      </c>
      <c r="D27" s="49"/>
      <c r="E27" s="50">
        <f>E24-E26</f>
        <v>1250</v>
      </c>
      <c r="F27" s="51"/>
      <c r="G27" s="50">
        <f>G24-G26</f>
        <v>1075</v>
      </c>
      <c r="H27" s="50"/>
      <c r="I27" s="50">
        <f>I24-I26</f>
        <v>1365</v>
      </c>
      <c r="J27" s="52"/>
      <c r="K27" s="346"/>
      <c r="L27" s="346"/>
      <c r="M27" s="346"/>
      <c r="N27" s="346"/>
      <c r="O27" s="346"/>
      <c r="P27" s="346"/>
      <c r="Q27" s="346"/>
      <c r="R27" s="343"/>
      <c r="S27" s="343"/>
      <c r="T27" s="343"/>
      <c r="U27" s="343"/>
      <c r="V27" s="343"/>
    </row>
    <row r="28" spans="2:22" ht="9.9499999999999993" customHeight="1">
      <c r="B28" s="275"/>
      <c r="E28" s="39"/>
      <c r="F28" s="40"/>
      <c r="G28" s="39"/>
      <c r="H28" s="40"/>
      <c r="I28" s="39"/>
      <c r="J28" s="41"/>
    </row>
    <row r="29" spans="2:22" ht="20.100000000000001" customHeight="1">
      <c r="B29" s="290" t="s">
        <v>4</v>
      </c>
      <c r="C29" s="42" t="s">
        <v>12</v>
      </c>
      <c r="D29" s="43"/>
      <c r="E29" s="44">
        <v>0</v>
      </c>
      <c r="F29" s="45"/>
      <c r="G29" s="44">
        <v>0</v>
      </c>
      <c r="H29" s="44"/>
      <c r="I29" s="44">
        <v>-10</v>
      </c>
      <c r="J29" s="46"/>
    </row>
    <row r="30" spans="2:22" s="32" customFormat="1" ht="20.100000000000001" customHeight="1" thickBot="1">
      <c r="B30" s="291"/>
      <c r="C30" s="48" t="s">
        <v>13</v>
      </c>
      <c r="D30" s="49"/>
      <c r="E30" s="70">
        <f>E27+E29</f>
        <v>1250</v>
      </c>
      <c r="F30" s="71"/>
      <c r="G30" s="70">
        <f>G27+G29</f>
        <v>1075</v>
      </c>
      <c r="H30" s="70"/>
      <c r="I30" s="70">
        <f>I27+I29</f>
        <v>1355</v>
      </c>
      <c r="J30" s="72"/>
      <c r="K30" s="343"/>
      <c r="L30" s="350"/>
      <c r="M30" s="351"/>
      <c r="N30" s="350"/>
      <c r="O30" s="350"/>
      <c r="P30" s="350"/>
      <c r="Q30" s="343"/>
      <c r="R30" s="343"/>
      <c r="S30" s="343"/>
      <c r="T30" s="343"/>
      <c r="U30" s="343"/>
      <c r="V30" s="343"/>
    </row>
    <row r="31" spans="2:22" ht="9.9499999999999993" customHeight="1" thickTop="1">
      <c r="E31" s="39"/>
      <c r="F31" s="40"/>
      <c r="G31" s="39"/>
      <c r="H31" s="40"/>
      <c r="I31" s="39"/>
      <c r="J31" s="41"/>
    </row>
    <row r="32" spans="2:22" ht="20.100000000000001" customHeight="1" thickBot="1">
      <c r="B32" s="273"/>
      <c r="C32" s="28"/>
      <c r="D32" s="29"/>
      <c r="E32" s="59"/>
      <c r="F32" s="60"/>
      <c r="G32" s="59"/>
      <c r="H32" s="60"/>
      <c r="I32" s="59"/>
      <c r="J32" s="61"/>
    </row>
    <row r="33" spans="2:22" s="62" customFormat="1" ht="20.100000000000001" customHeight="1">
      <c r="B33" s="276"/>
      <c r="C33" s="64" t="s">
        <v>82</v>
      </c>
      <c r="D33" s="65"/>
      <c r="E33" s="66">
        <f>E2</f>
        <v>2020</v>
      </c>
      <c r="F33" s="66"/>
      <c r="G33" s="66">
        <f>G2</f>
        <v>2019</v>
      </c>
      <c r="H33" s="66"/>
      <c r="I33" s="66">
        <f>I2</f>
        <v>2018</v>
      </c>
      <c r="J33" s="6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</row>
    <row r="34" spans="2:22" ht="20.100000000000001" customHeight="1">
      <c r="C34" s="213" t="s">
        <v>180</v>
      </c>
      <c r="D34" s="49" t="s">
        <v>16</v>
      </c>
      <c r="E34" s="39">
        <f>E30</f>
        <v>1250</v>
      </c>
      <c r="F34" s="39"/>
      <c r="G34" s="39">
        <f>G30</f>
        <v>1075</v>
      </c>
      <c r="H34" s="39"/>
      <c r="I34" s="39">
        <f>I30</f>
        <v>1355</v>
      </c>
      <c r="J34" s="41"/>
    </row>
    <row r="35" spans="2:22" s="334" customFormat="1" ht="20.100000000000001" customHeight="1">
      <c r="C35" s="335" t="s">
        <v>83</v>
      </c>
      <c r="D35" s="109" t="s">
        <v>16</v>
      </c>
      <c r="E35" s="336">
        <f>IF(E34&lt;$C43,E43,IF(E34&lt;$C44,E44,IF(E34&lt;$C45,E45,IF(E34&lt;$C46,E46,E47))))</f>
        <v>0.25</v>
      </c>
      <c r="F35" s="336"/>
      <c r="G35" s="336">
        <f>IF(G34&lt;$C43,G43,IF(G34&lt;$C44,G44,IF(G34&lt;$C45,G45,IF(G34&lt;$C46,G46,""))))</f>
        <v>0.25</v>
      </c>
      <c r="H35" s="336"/>
      <c r="I35" s="336">
        <f>IF(I34&lt;$C43,I43,IF(I34&lt;$C44,I44,IF(I34&lt;$C45,I45,IF(I34&lt;$C46,I46,""))))</f>
        <v>0.25</v>
      </c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</row>
    <row r="36" spans="2:22" s="330" customFormat="1" ht="20.100000000000001" customHeight="1">
      <c r="C36" s="332" t="s">
        <v>175</v>
      </c>
      <c r="D36" s="331" t="s">
        <v>16</v>
      </c>
      <c r="E36" s="333">
        <f>MROUND(E34*E35,5)</f>
        <v>315</v>
      </c>
      <c r="F36" s="333"/>
      <c r="G36" s="333">
        <f>MROUND(G34*G35,5)</f>
        <v>270</v>
      </c>
      <c r="H36" s="333"/>
      <c r="I36" s="333">
        <f>MROUND(I34*I35,5)</f>
        <v>340</v>
      </c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</row>
    <row r="37" spans="2:22" ht="20.100000000000001" customHeight="1">
      <c r="C37" s="213" t="s">
        <v>178</v>
      </c>
      <c r="D37" s="49" t="s">
        <v>16</v>
      </c>
      <c r="E37" s="39">
        <f>E34-E36</f>
        <v>935</v>
      </c>
      <c r="F37" s="39"/>
      <c r="G37" s="39">
        <f>G34-G36</f>
        <v>805</v>
      </c>
      <c r="H37" s="39"/>
      <c r="I37" s="39">
        <f>I34-I36</f>
        <v>1015</v>
      </c>
      <c r="J37" s="39"/>
    </row>
    <row r="38" spans="2:22" ht="20.100000000000001" customHeight="1">
      <c r="B38" s="274"/>
      <c r="C38" s="42" t="s">
        <v>79</v>
      </c>
      <c r="D38" s="35" t="s">
        <v>16</v>
      </c>
      <c r="E38" s="44">
        <f>Balans!M5-Balans!O5</f>
        <v>935</v>
      </c>
      <c r="F38" s="44"/>
      <c r="G38" s="44">
        <f>Balans!O5-Balans!Q5</f>
        <v>805</v>
      </c>
      <c r="H38" s="44"/>
      <c r="I38" s="44">
        <f>Balans!Q5-Balans!S5</f>
        <v>1015</v>
      </c>
      <c r="J38" s="46"/>
    </row>
    <row r="39" spans="2:22" s="162" customFormat="1" ht="20.100000000000001" customHeight="1">
      <c r="B39" s="328"/>
      <c r="C39" s="56"/>
      <c r="D39" s="329"/>
      <c r="E39" s="55">
        <f>E38-E37</f>
        <v>0</v>
      </c>
      <c r="F39" s="55"/>
      <c r="G39" s="55">
        <f>G38-G37</f>
        <v>0</v>
      </c>
      <c r="H39" s="55"/>
      <c r="I39" s="55">
        <f>I38-I37</f>
        <v>0</v>
      </c>
      <c r="J39" s="328"/>
      <c r="K39" s="354" t="s">
        <v>176</v>
      </c>
      <c r="L39" s="354"/>
      <c r="M39" s="355"/>
      <c r="N39" s="355"/>
      <c r="O39" s="355"/>
      <c r="P39" s="355"/>
      <c r="Q39" s="355"/>
      <c r="R39" s="355"/>
      <c r="S39" s="355"/>
      <c r="T39" s="355"/>
      <c r="U39" s="355"/>
      <c r="V39" s="355"/>
    </row>
    <row r="40" spans="2:22" s="69" customFormat="1" ht="20.100000000000001" customHeight="1">
      <c r="B40" s="277"/>
      <c r="C40" s="152"/>
      <c r="D40" s="109"/>
      <c r="E40" s="153"/>
      <c r="F40" s="153"/>
      <c r="G40" s="153"/>
      <c r="H40" s="153"/>
      <c r="I40" s="153"/>
      <c r="J40" s="108"/>
      <c r="K40" s="346"/>
      <c r="L40" s="346"/>
      <c r="M40" s="343"/>
      <c r="N40" s="343"/>
      <c r="O40" s="343"/>
      <c r="P40" s="343"/>
      <c r="Q40" s="343"/>
      <c r="R40" s="343"/>
      <c r="S40" s="343"/>
      <c r="T40" s="343"/>
      <c r="U40" s="343"/>
      <c r="V40" s="343"/>
    </row>
    <row r="41" spans="2:22" ht="20.100000000000001" customHeight="1" thickBot="1">
      <c r="B41" s="273"/>
      <c r="C41" s="28"/>
      <c r="D41" s="143"/>
      <c r="E41" s="289" t="s">
        <v>174</v>
      </c>
      <c r="F41" s="289"/>
      <c r="G41" s="289"/>
      <c r="H41" s="289"/>
      <c r="I41" s="289"/>
      <c r="J41" s="289"/>
      <c r="K41" s="347"/>
      <c r="L41" s="347"/>
      <c r="M41" s="347"/>
    </row>
    <row r="42" spans="2:22" ht="20.100000000000001" customHeight="1">
      <c r="B42" s="64" t="s">
        <v>179</v>
      </c>
      <c r="C42" s="64"/>
      <c r="D42" s="65"/>
      <c r="E42" s="174">
        <f>E2</f>
        <v>2020</v>
      </c>
      <c r="F42" s="66"/>
      <c r="G42" s="174">
        <f t="shared" ref="G42" si="0">G2</f>
        <v>2019</v>
      </c>
      <c r="H42" s="66"/>
      <c r="I42" s="174">
        <f t="shared" ref="I42" si="1">I2</f>
        <v>2018</v>
      </c>
      <c r="J42" s="66"/>
      <c r="K42" s="356"/>
      <c r="L42" s="346"/>
      <c r="M42" s="347"/>
    </row>
    <row r="43" spans="2:22" ht="20.100000000000001" customHeight="1">
      <c r="B43" s="322" t="s">
        <v>161</v>
      </c>
      <c r="C43" s="323">
        <v>0</v>
      </c>
      <c r="D43" s="324" t="s">
        <v>16</v>
      </c>
      <c r="E43" s="325">
        <v>0</v>
      </c>
      <c r="F43" s="325"/>
      <c r="G43" s="325">
        <v>0</v>
      </c>
      <c r="H43" s="325"/>
      <c r="I43" s="325">
        <v>0</v>
      </c>
      <c r="J43" s="326"/>
      <c r="K43" s="356"/>
      <c r="L43" s="346"/>
      <c r="M43" s="347"/>
    </row>
    <row r="44" spans="2:22" s="67" customFormat="1" ht="20.100000000000001" customHeight="1">
      <c r="B44" s="278" t="s">
        <v>161</v>
      </c>
      <c r="C44" s="279">
        <v>500</v>
      </c>
      <c r="D44" s="49" t="s">
        <v>16</v>
      </c>
      <c r="E44" s="281">
        <v>0.05</v>
      </c>
      <c r="F44" s="281"/>
      <c r="G44" s="281">
        <v>0.05</v>
      </c>
      <c r="H44" s="281"/>
      <c r="I44" s="281">
        <v>0.05</v>
      </c>
      <c r="J44" s="68"/>
      <c r="K44" s="348"/>
      <c r="L44" s="347"/>
      <c r="M44" s="347"/>
      <c r="N44" s="342"/>
      <c r="O44" s="342"/>
      <c r="P44" s="342"/>
      <c r="Q44" s="342"/>
      <c r="R44" s="342"/>
      <c r="S44" s="342"/>
      <c r="T44" s="342"/>
      <c r="U44" s="342"/>
      <c r="V44" s="342"/>
    </row>
    <row r="45" spans="2:22" s="67" customFormat="1" ht="20.100000000000001" customHeight="1">
      <c r="B45" s="322" t="s">
        <v>161</v>
      </c>
      <c r="C45" s="323">
        <v>1000</v>
      </c>
      <c r="D45" s="324" t="s">
        <v>16</v>
      </c>
      <c r="E45" s="325">
        <v>0.15</v>
      </c>
      <c r="F45" s="325"/>
      <c r="G45" s="325">
        <v>0.15</v>
      </c>
      <c r="H45" s="325"/>
      <c r="I45" s="325">
        <v>0.15</v>
      </c>
      <c r="J45" s="327"/>
      <c r="K45" s="348"/>
      <c r="L45" s="347"/>
      <c r="M45" s="347"/>
      <c r="N45" s="342"/>
      <c r="O45" s="342"/>
      <c r="P45" s="342"/>
      <c r="Q45" s="342"/>
      <c r="R45" s="342"/>
      <c r="S45" s="342"/>
      <c r="T45" s="342"/>
      <c r="U45" s="342"/>
      <c r="V45" s="342"/>
    </row>
    <row r="46" spans="2:22" s="114" customFormat="1" ht="20.100000000000001" customHeight="1">
      <c r="B46" s="278" t="s">
        <v>161</v>
      </c>
      <c r="C46" s="280">
        <v>1500</v>
      </c>
      <c r="D46" s="49" t="s">
        <v>16</v>
      </c>
      <c r="E46" s="282">
        <v>0.25</v>
      </c>
      <c r="F46" s="282"/>
      <c r="G46" s="282">
        <v>0.25</v>
      </c>
      <c r="H46" s="282"/>
      <c r="I46" s="282">
        <v>0.25</v>
      </c>
      <c r="J46" s="110"/>
      <c r="K46" s="348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</row>
    <row r="47" spans="2:22" s="67" customFormat="1" ht="20.100000000000001" customHeight="1">
      <c r="B47" s="337" t="s">
        <v>139</v>
      </c>
      <c r="C47" s="338">
        <v>1500</v>
      </c>
      <c r="D47" s="339" t="s">
        <v>16</v>
      </c>
      <c r="E47" s="340">
        <v>0.35</v>
      </c>
      <c r="F47" s="340"/>
      <c r="G47" s="340">
        <v>0.35</v>
      </c>
      <c r="H47" s="340"/>
      <c r="I47" s="340">
        <v>0.35</v>
      </c>
      <c r="J47" s="341"/>
      <c r="K47" s="348"/>
      <c r="L47" s="347"/>
      <c r="M47" s="347"/>
      <c r="N47" s="342"/>
      <c r="O47" s="342"/>
      <c r="P47" s="342"/>
      <c r="Q47" s="342"/>
      <c r="R47" s="342"/>
      <c r="S47" s="342"/>
      <c r="T47" s="342"/>
      <c r="U47" s="342"/>
      <c r="V47" s="342"/>
    </row>
    <row r="48" spans="2:22" ht="20.100000000000001" customHeight="1">
      <c r="K48" s="347"/>
      <c r="L48" s="347"/>
      <c r="M48" s="347"/>
    </row>
    <row r="49" spans="11:13" ht="20.100000000000001" customHeight="1">
      <c r="K49" s="347"/>
      <c r="L49" s="347"/>
      <c r="M49" s="347"/>
    </row>
    <row r="50" spans="11:13" ht="20.100000000000001" customHeight="1">
      <c r="K50" s="347"/>
      <c r="L50" s="347"/>
      <c r="M50" s="347"/>
    </row>
  </sheetData>
  <mergeCells count="7">
    <mergeCell ref="E41:J41"/>
    <mergeCell ref="B21:B22"/>
    <mergeCell ref="B26:B27"/>
    <mergeCell ref="B29:B30"/>
    <mergeCell ref="B9:B10"/>
    <mergeCell ref="B13:B14"/>
    <mergeCell ref="B17:B18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1">
    <tabColor theme="6" tint="0.39997558519241921"/>
  </sheetPr>
  <dimension ref="A1:R10"/>
  <sheetViews>
    <sheetView zoomScale="120" zoomScaleNormal="120" workbookViewId="0"/>
  </sheetViews>
  <sheetFormatPr defaultRowHeight="15" customHeight="1"/>
  <cols>
    <col min="1" max="1" width="1.7109375" style="95" customWidth="1"/>
    <col min="2" max="2" width="19.7109375" style="32" customWidth="1"/>
    <col min="3" max="3" width="1.7109375" style="32" customWidth="1"/>
    <col min="4" max="4" width="9.7109375" style="32" customWidth="1"/>
    <col min="5" max="5" width="1.7109375" style="96" customWidth="1"/>
    <col min="6" max="6" width="23.85546875" style="48" bestFit="1" customWidth="1"/>
    <col min="7" max="7" width="1.7109375" style="48" customWidth="1"/>
    <col min="8" max="8" width="39.7109375" style="26" customWidth="1"/>
    <col min="9" max="9" width="7.5703125" style="165" customWidth="1"/>
    <col min="10" max="10" width="1.7109375" style="26" customWidth="1"/>
    <col min="11" max="11" width="10.7109375" style="97" customWidth="1"/>
    <col min="12" max="12" width="1.7109375" style="97" customWidth="1"/>
    <col min="13" max="13" width="10.7109375" style="97" customWidth="1"/>
    <col min="14" max="14" width="1.7109375" style="97" customWidth="1"/>
    <col min="15" max="15" width="10.7109375" style="97" customWidth="1"/>
    <col min="16" max="16" width="1.7109375" style="97" customWidth="1"/>
    <col min="17" max="17" width="10.7109375" style="97" customWidth="1"/>
    <col min="18" max="18" width="1.7109375" style="95" customWidth="1"/>
    <col min="19" max="16384" width="9.140625" style="136"/>
  </cols>
  <sheetData>
    <row r="1" spans="1:18" s="150" customFormat="1" ht="30" customHeight="1">
      <c r="A1" s="167"/>
      <c r="B1" s="168" t="s">
        <v>46</v>
      </c>
      <c r="C1" s="168"/>
      <c r="D1" s="168"/>
      <c r="E1" s="169"/>
      <c r="F1" s="170"/>
      <c r="G1" s="170"/>
      <c r="H1" s="168"/>
      <c r="I1" s="169" t="s">
        <v>52</v>
      </c>
      <c r="J1" s="168"/>
      <c r="K1" s="171">
        <f>Balans!C2</f>
        <v>2020</v>
      </c>
      <c r="L1" s="171"/>
      <c r="M1" s="171">
        <f>Balans!E2</f>
        <v>2019</v>
      </c>
      <c r="N1" s="171"/>
      <c r="O1" s="171">
        <f>Balans!G2</f>
        <v>2018</v>
      </c>
      <c r="P1" s="171"/>
      <c r="Q1" s="171">
        <f>Balans!I2</f>
        <v>2017</v>
      </c>
      <c r="R1" s="172"/>
    </row>
    <row r="2" spans="1:18" ht="15" customHeight="1">
      <c r="A2" s="76"/>
      <c r="B2" s="77"/>
      <c r="C2" s="77"/>
      <c r="D2" s="77"/>
      <c r="E2" s="78"/>
      <c r="F2" s="89"/>
      <c r="G2" s="89"/>
      <c r="H2" s="47"/>
      <c r="I2" s="212"/>
      <c r="J2" s="47"/>
      <c r="K2" s="90"/>
      <c r="L2" s="90"/>
      <c r="M2" s="90"/>
      <c r="N2" s="90"/>
      <c r="O2" s="90"/>
      <c r="P2" s="90"/>
      <c r="Q2" s="90"/>
      <c r="R2" s="91"/>
    </row>
    <row r="3" spans="1:18" ht="20.100000000000001" customHeight="1">
      <c r="A3" s="76"/>
      <c r="B3" s="77" t="s">
        <v>40</v>
      </c>
      <c r="C3" s="78" t="s">
        <v>16</v>
      </c>
      <c r="D3" s="77" t="s">
        <v>123</v>
      </c>
      <c r="E3" s="78" t="s">
        <v>16</v>
      </c>
      <c r="F3" s="89" t="s">
        <v>86</v>
      </c>
      <c r="G3" s="89" t="s">
        <v>16</v>
      </c>
      <c r="H3" s="47" t="s">
        <v>41</v>
      </c>
      <c r="I3" s="275" t="s">
        <v>109</v>
      </c>
      <c r="J3" s="47"/>
      <c r="K3" s="177">
        <f>Balans!C24</f>
        <v>31535</v>
      </c>
      <c r="L3" s="177">
        <f>Balans!D24</f>
        <v>0</v>
      </c>
      <c r="M3" s="177">
        <f>Balans!E24</f>
        <v>33620</v>
      </c>
      <c r="N3" s="177">
        <f>Balans!F24</f>
        <v>0</v>
      </c>
      <c r="O3" s="177">
        <f>Balans!G24</f>
        <v>32720</v>
      </c>
      <c r="P3" s="177">
        <f>Balans!H24</f>
        <v>0</v>
      </c>
      <c r="Q3" s="177">
        <f>Balans!I24</f>
        <v>31300</v>
      </c>
      <c r="R3" s="91"/>
    </row>
    <row r="4" spans="1:18" ht="20.100000000000001" customHeight="1">
      <c r="A4" s="76"/>
      <c r="B4" s="77" t="s">
        <v>3</v>
      </c>
      <c r="C4" s="78" t="s">
        <v>16</v>
      </c>
      <c r="D4" s="77" t="s">
        <v>124</v>
      </c>
      <c r="E4" s="78" t="s">
        <v>16</v>
      </c>
      <c r="F4" s="89" t="s">
        <v>87</v>
      </c>
      <c r="G4" s="89" t="s">
        <v>16</v>
      </c>
      <c r="H4" s="47" t="s">
        <v>42</v>
      </c>
      <c r="I4" s="275" t="s">
        <v>109</v>
      </c>
      <c r="J4" s="47"/>
      <c r="K4" s="177">
        <f>Balans!C24-Balans!M24</f>
        <v>15340</v>
      </c>
      <c r="L4" s="177">
        <f>Balans!D24-Balans!N24</f>
        <v>0</v>
      </c>
      <c r="M4" s="177">
        <f>Balans!E24-Balans!O24</f>
        <v>14580</v>
      </c>
      <c r="N4" s="177">
        <f>Balans!F24-Balans!P24</f>
        <v>0</v>
      </c>
      <c r="O4" s="177">
        <f>Balans!G24-Balans!Q24</f>
        <v>13995</v>
      </c>
      <c r="P4" s="177">
        <f>Balans!H24-Balans!R24</f>
        <v>0</v>
      </c>
      <c r="Q4" s="177">
        <f>Balans!I24-Balans!S24</f>
        <v>14695</v>
      </c>
      <c r="R4" s="91"/>
    </row>
    <row r="5" spans="1:18" ht="20.100000000000001" customHeight="1">
      <c r="A5" s="76"/>
      <c r="B5" s="77" t="s">
        <v>128</v>
      </c>
      <c r="C5" s="78" t="s">
        <v>16</v>
      </c>
      <c r="D5" s="77" t="s">
        <v>129</v>
      </c>
      <c r="E5" s="78" t="s">
        <v>16</v>
      </c>
      <c r="F5" s="89" t="s">
        <v>85</v>
      </c>
      <c r="G5" s="89" t="s">
        <v>16</v>
      </c>
      <c r="H5" s="176" t="s">
        <v>127</v>
      </c>
      <c r="I5" s="215" t="s">
        <v>109</v>
      </c>
      <c r="J5" s="176"/>
      <c r="K5" s="178">
        <f>Balans!C23</f>
        <v>680</v>
      </c>
      <c r="L5" s="178">
        <f>Balans!D23</f>
        <v>0</v>
      </c>
      <c r="M5" s="178">
        <f>Balans!E23</f>
        <v>310</v>
      </c>
      <c r="N5" s="178">
        <f>Balans!F23</f>
        <v>0</v>
      </c>
      <c r="O5" s="178">
        <f>Balans!G23</f>
        <v>200</v>
      </c>
      <c r="P5" s="178">
        <f>Balans!H23</f>
        <v>0</v>
      </c>
      <c r="Q5" s="178">
        <f>Balans!I23</f>
        <v>280</v>
      </c>
      <c r="R5" s="91"/>
    </row>
    <row r="6" spans="1:18" ht="20.100000000000001" customHeight="1">
      <c r="A6" s="76"/>
      <c r="B6" s="77" t="s">
        <v>122</v>
      </c>
      <c r="C6" s="78" t="s">
        <v>16</v>
      </c>
      <c r="D6" s="77" t="s">
        <v>125</v>
      </c>
      <c r="E6" s="78" t="s">
        <v>16</v>
      </c>
      <c r="F6" s="89" t="s">
        <v>43</v>
      </c>
      <c r="G6" s="89" t="s">
        <v>16</v>
      </c>
      <c r="H6" s="176" t="s">
        <v>130</v>
      </c>
      <c r="I6" s="215" t="s">
        <v>109</v>
      </c>
      <c r="J6" s="176"/>
      <c r="K6" s="178">
        <f>Balans!C23-Balans!M19-Balans!M20-Balans!M21</f>
        <v>-4555</v>
      </c>
      <c r="L6" s="178">
        <f>Balans!D23-Balans!N19-Balans!N20-Balans!N21</f>
        <v>0</v>
      </c>
      <c r="M6" s="178">
        <f>Balans!E23-Balans!O19-Balans!O20-Balans!O21</f>
        <v>-5810</v>
      </c>
      <c r="N6" s="178">
        <f>Balans!F23-Balans!P19-Balans!P20-Balans!P21</f>
        <v>0</v>
      </c>
      <c r="O6" s="178">
        <f>Balans!G23-Balans!Q19-Balans!Q20-Balans!Q21</f>
        <v>-6590</v>
      </c>
      <c r="P6" s="178">
        <f>Balans!H23-Balans!R19-Balans!R20-Balans!R21</f>
        <v>0</v>
      </c>
      <c r="Q6" s="178">
        <f>Balans!I23-Balans!S19-Balans!S20-Balans!S21</f>
        <v>-5025</v>
      </c>
      <c r="R6" s="91"/>
    </row>
    <row r="7" spans="1:18" ht="20.100000000000001" customHeight="1">
      <c r="A7" s="76"/>
      <c r="B7" s="77" t="s">
        <v>166</v>
      </c>
      <c r="C7" s="78" t="s">
        <v>16</v>
      </c>
      <c r="D7" s="77" t="s">
        <v>126</v>
      </c>
      <c r="E7" s="78" t="s">
        <v>16</v>
      </c>
      <c r="F7" s="89" t="s">
        <v>163</v>
      </c>
      <c r="G7" s="89" t="s">
        <v>16</v>
      </c>
      <c r="H7" s="175" t="s">
        <v>131</v>
      </c>
      <c r="I7" s="275" t="s">
        <v>165</v>
      </c>
      <c r="J7" s="175"/>
      <c r="K7" s="177">
        <f>(Balans!C18+Balans!C19+Balans!C20+Balans!C21+Balans!C22)-(Balans!M22+Balans!M23)</f>
        <v>19895</v>
      </c>
      <c r="L7" s="177">
        <f>(Balans!D18+Balans!D19+Balans!D20+Balans!D21+Balans!D22)-(Balans!N22+Balans!N23)</f>
        <v>0</v>
      </c>
      <c r="M7" s="177">
        <f>(Balans!E18+Balans!E19+Balans!E20+Balans!E21+Balans!E22)-(Balans!O22+Balans!O23)</f>
        <v>20390</v>
      </c>
      <c r="N7" s="177">
        <f>(Balans!F18+Balans!F19+Balans!F20+Balans!F21+Balans!F22)-(Balans!P22+Balans!P23)</f>
        <v>0</v>
      </c>
      <c r="O7" s="177">
        <f>(Balans!G18+Balans!G19+Balans!G20+Balans!G21+Balans!G22)-(Balans!Q22+Balans!Q23)</f>
        <v>20585</v>
      </c>
      <c r="P7" s="177">
        <f>(Balans!H18+Balans!H19+Balans!H20+Balans!H21+Balans!H22)-(Balans!R22+Balans!R23)</f>
        <v>0</v>
      </c>
      <c r="Q7" s="177">
        <f>(Balans!I18+Balans!I19+Balans!I20+Balans!I21+Balans!I22)-(Balans!S22+Balans!S23)</f>
        <v>19720</v>
      </c>
      <c r="R7" s="91"/>
    </row>
    <row r="8" spans="1:18" ht="20.100000000000001" customHeight="1">
      <c r="A8" s="76"/>
      <c r="B8" s="77" t="s">
        <v>227</v>
      </c>
      <c r="C8" s="78" t="s">
        <v>16</v>
      </c>
      <c r="D8" s="77" t="s">
        <v>228</v>
      </c>
      <c r="E8" s="78" t="s">
        <v>16</v>
      </c>
      <c r="F8" s="89" t="s">
        <v>164</v>
      </c>
      <c r="G8" s="89" t="s">
        <v>16</v>
      </c>
      <c r="H8" s="175" t="s">
        <v>162</v>
      </c>
      <c r="I8" s="275" t="s">
        <v>165</v>
      </c>
      <c r="J8" s="175"/>
      <c r="K8" s="177">
        <f>Balans!C18+Balans!C19+Balans!C20+Balans!C21-Balans!M22</f>
        <v>21205</v>
      </c>
      <c r="L8" s="177">
        <f>(Balans!D19+Balans!D20+Balans!D21+Balans!D22+Balans!D23)-(Balans!N23+Balans!N24)</f>
        <v>0</v>
      </c>
      <c r="M8" s="177">
        <f>Balans!E18+Balans!E19+Balans!E20+Balans!E21-Balans!O22</f>
        <v>21635</v>
      </c>
      <c r="N8" s="177">
        <f>(Balans!F19+Balans!F20+Balans!F21+Balans!F22+Balans!F23)-(Balans!P23+Balans!P24)</f>
        <v>0</v>
      </c>
      <c r="O8" s="177">
        <f>Balans!G18+Balans!G19+Balans!G20+Balans!G21-Balans!Q22</f>
        <v>21920</v>
      </c>
      <c r="P8" s="177">
        <f>(Balans!H19+Balans!H20+Balans!H21+Balans!H22+Balans!H23)-(Balans!R23+Balans!R24)</f>
        <v>0</v>
      </c>
      <c r="Q8" s="177">
        <f>Balans!I18+Balans!I19+Balans!I20+Balans!I21-Balans!S22</f>
        <v>20990</v>
      </c>
      <c r="R8" s="91"/>
    </row>
    <row r="9" spans="1:18" ht="15" customHeight="1">
      <c r="A9" s="83"/>
      <c r="B9" s="33"/>
      <c r="C9" s="36"/>
      <c r="D9" s="33"/>
      <c r="E9" s="36"/>
      <c r="F9" s="34"/>
      <c r="G9" s="34"/>
      <c r="H9" s="84"/>
      <c r="I9" s="85"/>
      <c r="J9" s="84"/>
      <c r="K9" s="46"/>
      <c r="L9" s="46"/>
      <c r="M9" s="46"/>
      <c r="N9" s="46"/>
      <c r="O9" s="46"/>
      <c r="P9" s="46"/>
      <c r="Q9" s="46"/>
      <c r="R9" s="92"/>
    </row>
    <row r="10" spans="1:18" ht="15" customHeight="1">
      <c r="A10" s="26"/>
      <c r="K10" s="67"/>
      <c r="L10" s="67"/>
      <c r="M10" s="67"/>
      <c r="N10" s="67"/>
      <c r="O10" s="67"/>
      <c r="P10" s="67"/>
      <c r="Q10" s="67"/>
      <c r="R10" s="26"/>
    </row>
  </sheetData>
  <phoneticPr fontId="6" type="noConversion"/>
  <conditionalFormatting sqref="K4:Q4">
    <cfRule type="cellIs" dxfId="74" priority="7" operator="lessThan">
      <formula>0</formula>
    </cfRule>
    <cfRule type="cellIs" dxfId="73" priority="8" operator="greaterThan">
      <formula>0</formula>
    </cfRule>
  </conditionalFormatting>
  <conditionalFormatting sqref="K5:Q5">
    <cfRule type="cellIs" dxfId="72" priority="5" operator="lessThan">
      <formula>0</formula>
    </cfRule>
    <cfRule type="cellIs" dxfId="71" priority="6" operator="greaterThan">
      <formula>0</formula>
    </cfRule>
  </conditionalFormatting>
  <conditionalFormatting sqref="K6:Q6">
    <cfRule type="cellIs" dxfId="70" priority="3" operator="lessThan">
      <formula>0</formula>
    </cfRule>
    <cfRule type="cellIs" dxfId="69" priority="4" operator="greaterThan">
      <formula>0</formula>
    </cfRule>
  </conditionalFormatting>
  <conditionalFormatting sqref="K7:Q8">
    <cfRule type="cellIs" dxfId="68" priority="1" operator="lessThan">
      <formula>0</formula>
    </cfRule>
    <cfRule type="cellIs" dxfId="67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2">
    <tabColor theme="6" tint="0.39997558519241921"/>
  </sheetPr>
  <dimension ref="A1:Q48"/>
  <sheetViews>
    <sheetView workbookViewId="0"/>
  </sheetViews>
  <sheetFormatPr defaultRowHeight="24.95" customHeight="1"/>
  <cols>
    <col min="1" max="1" width="6.7109375" style="75" customWidth="1"/>
    <col min="2" max="2" width="0.85546875" style="74" customWidth="1"/>
    <col min="3" max="3" width="8.7109375" style="183" customWidth="1"/>
    <col min="4" max="4" width="1.7109375" style="183" customWidth="1"/>
    <col min="5" max="5" width="8.7109375" style="183" customWidth="1"/>
    <col min="6" max="6" width="1.7109375" style="183" customWidth="1"/>
    <col min="7" max="7" width="8.7109375" style="183" customWidth="1"/>
    <col min="8" max="8" width="1.7109375" style="183" customWidth="1"/>
    <col min="9" max="9" width="8.7109375" style="183" customWidth="1"/>
    <col min="10" max="10" width="0.85546875" style="183" customWidth="1"/>
    <col min="11" max="11" width="8.7109375" style="183" customWidth="1"/>
    <col min="12" max="12" width="1.7109375" style="183" customWidth="1"/>
    <col min="13" max="13" width="8.7109375" style="183" customWidth="1"/>
    <col min="14" max="14" width="1.7109375" style="183" customWidth="1"/>
    <col min="15" max="15" width="8.7109375" style="183" customWidth="1"/>
    <col min="16" max="16" width="1.7109375" style="183" customWidth="1"/>
    <col min="17" max="17" width="8.7109375" style="183" customWidth="1"/>
    <col min="18" max="18" width="1.7109375" style="74" customWidth="1"/>
    <col min="19" max="16384" width="9.140625" style="74"/>
  </cols>
  <sheetData>
    <row r="1" spans="1:17" s="180" customFormat="1" ht="35.1" customHeight="1">
      <c r="A1" s="75"/>
      <c r="B1" s="75"/>
      <c r="C1" s="311" t="s">
        <v>44</v>
      </c>
      <c r="D1" s="312"/>
      <c r="E1" s="312"/>
      <c r="F1" s="312"/>
      <c r="G1" s="312"/>
      <c r="H1" s="312"/>
      <c r="I1" s="313"/>
      <c r="J1" s="179"/>
      <c r="K1" s="311" t="s">
        <v>45</v>
      </c>
      <c r="L1" s="312"/>
      <c r="M1" s="312"/>
      <c r="N1" s="312"/>
      <c r="O1" s="312"/>
      <c r="P1" s="312"/>
      <c r="Q1" s="313"/>
    </row>
    <row r="2" spans="1:17" ht="5.0999999999999996" customHeight="1"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ht="50.1" customHeight="1">
      <c r="A3" s="292" t="s">
        <v>119</v>
      </c>
      <c r="B3" s="183"/>
      <c r="C3" s="317" t="s">
        <v>132</v>
      </c>
      <c r="D3" s="315"/>
      <c r="E3" s="315"/>
      <c r="F3" s="315"/>
      <c r="G3" s="315"/>
      <c r="H3" s="315"/>
      <c r="I3" s="316"/>
      <c r="J3" s="184"/>
      <c r="K3" s="314" t="s">
        <v>133</v>
      </c>
      <c r="L3" s="315"/>
      <c r="M3" s="315"/>
      <c r="N3" s="315"/>
      <c r="O3" s="315"/>
      <c r="P3" s="315"/>
      <c r="Q3" s="316"/>
    </row>
    <row r="4" spans="1:17" ht="50.1" customHeight="1">
      <c r="A4" s="293"/>
      <c r="B4" s="183"/>
      <c r="C4" s="318"/>
      <c r="D4" s="319"/>
      <c r="E4" s="319"/>
      <c r="F4" s="319"/>
      <c r="G4" s="319"/>
      <c r="H4" s="319"/>
      <c r="I4" s="320"/>
      <c r="J4" s="184"/>
      <c r="K4" s="209" t="str">
        <f>IF((K33+K34+K35)=3,'234. Werkkapitaal'!K1," ")</f>
        <v xml:space="preserve"> </v>
      </c>
      <c r="L4" s="208"/>
      <c r="M4" s="208" t="str">
        <f>IF((M33+M34+M35)=3,'234. Werkkapitaal'!M1," ")</f>
        <v xml:space="preserve"> </v>
      </c>
      <c r="N4" s="208"/>
      <c r="O4" s="208" t="str">
        <f>IF((O33+O34+O35)=3,'234. Werkkapitaal'!O1," ")</f>
        <v xml:space="preserve"> </v>
      </c>
      <c r="P4" s="208"/>
      <c r="Q4" s="210" t="str">
        <f>IF((Q33+Q34+Q35)=3,'234. Werkkapitaal'!Q1," ")</f>
        <v xml:space="preserve"> </v>
      </c>
    </row>
    <row r="5" spans="1:17" ht="50.1" customHeight="1">
      <c r="A5" s="293"/>
      <c r="B5" s="183"/>
      <c r="C5" s="197" t="str">
        <f>IF(C38+C39=2,'234. Werkkapitaal'!K1," ")</f>
        <v xml:space="preserve"> </v>
      </c>
      <c r="D5" s="207"/>
      <c r="E5" s="207" t="str">
        <f>IF(E38+E39=2,'234. Werkkapitaal'!M1," ")</f>
        <v xml:space="preserve"> </v>
      </c>
      <c r="F5" s="207"/>
      <c r="G5" s="207" t="str">
        <f>IF(G38+G39=2,'234. Werkkapitaal'!O1," ")</f>
        <v xml:space="preserve"> </v>
      </c>
      <c r="H5" s="207"/>
      <c r="I5" s="198" t="str">
        <f>IF(I38+I39=2,'234. Werkkapitaal'!Q1," ")</f>
        <v xml:space="preserve"> </v>
      </c>
      <c r="J5" s="185"/>
      <c r="K5" s="310" t="s">
        <v>134</v>
      </c>
      <c r="L5" s="305"/>
      <c r="M5" s="305"/>
      <c r="N5" s="305"/>
      <c r="O5" s="305"/>
      <c r="P5" s="305"/>
      <c r="Q5" s="306"/>
    </row>
    <row r="6" spans="1:17" ht="50.1" customHeight="1">
      <c r="A6" s="294"/>
      <c r="B6" s="183"/>
      <c r="C6" s="199"/>
      <c r="D6" s="191"/>
      <c r="E6" s="191"/>
      <c r="F6" s="191"/>
      <c r="G6" s="191"/>
      <c r="H6" s="191"/>
      <c r="I6" s="200"/>
      <c r="J6" s="185"/>
      <c r="K6" s="186" t="str">
        <f>IF((K37+K38+K39)=3,'234. Werkkapitaal'!K1," ")</f>
        <v xml:space="preserve"> </v>
      </c>
      <c r="L6" s="187"/>
      <c r="M6" s="187" t="str">
        <f>IF((M37+M38+M39)=3,'234. Werkkapitaal'!M1," ")</f>
        <v xml:space="preserve"> </v>
      </c>
      <c r="N6" s="187"/>
      <c r="O6" s="187" t="str">
        <f>IF((O37+O38+O39)=3,'234. Werkkapitaal'!O1," ")</f>
        <v xml:space="preserve"> </v>
      </c>
      <c r="P6" s="187"/>
      <c r="Q6" s="188" t="str">
        <f>IF((Q37+Q38+Q39)=3,'234. Werkkapitaal'!Q1," ")</f>
        <v xml:space="preserve"> </v>
      </c>
    </row>
    <row r="7" spans="1:17" ht="5.0999999999999996" customHeight="1">
      <c r="A7" s="179"/>
      <c r="B7" s="183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</row>
    <row r="8" spans="1:17" ht="50.1" customHeight="1">
      <c r="A8" s="292" t="s">
        <v>118</v>
      </c>
      <c r="B8" s="183"/>
      <c r="C8" s="314" t="s">
        <v>133</v>
      </c>
      <c r="D8" s="315"/>
      <c r="E8" s="315"/>
      <c r="F8" s="315"/>
      <c r="G8" s="315"/>
      <c r="H8" s="315"/>
      <c r="I8" s="316"/>
      <c r="J8" s="185"/>
      <c r="K8" s="304" t="s">
        <v>135</v>
      </c>
      <c r="L8" s="305"/>
      <c r="M8" s="305"/>
      <c r="N8" s="305"/>
      <c r="O8" s="305"/>
      <c r="P8" s="305"/>
      <c r="Q8" s="306"/>
    </row>
    <row r="9" spans="1:17" ht="50.1" customHeight="1">
      <c r="A9" s="293"/>
      <c r="B9" s="183"/>
      <c r="C9" s="199" t="str">
        <f>IF((C42+C43+C44)=3,'234. Werkkapitaal'!K1," ")</f>
        <v xml:space="preserve"> </v>
      </c>
      <c r="D9" s="191"/>
      <c r="E9" s="191" t="str">
        <f>IF((E42+E43+E44)=3,'234. Werkkapitaal'!M1," ")</f>
        <v xml:space="preserve"> </v>
      </c>
      <c r="F9" s="191"/>
      <c r="G9" s="191" t="str">
        <f>IF((G42+G43+G44)=3,'234. Werkkapitaal'!O1," ")</f>
        <v xml:space="preserve"> </v>
      </c>
      <c r="H9" s="191"/>
      <c r="I9" s="200" t="str">
        <f>IF((I42+I43+I44)=3,'234. Werkkapitaal'!Q1," ")</f>
        <v xml:space="preserve"> </v>
      </c>
      <c r="J9" s="185"/>
      <c r="K9" s="307"/>
      <c r="L9" s="308"/>
      <c r="M9" s="308"/>
      <c r="N9" s="308"/>
      <c r="O9" s="308"/>
      <c r="P9" s="308"/>
      <c r="Q9" s="309"/>
    </row>
    <row r="10" spans="1:17" ht="50.1" customHeight="1">
      <c r="A10" s="293"/>
      <c r="B10" s="183"/>
      <c r="C10" s="310" t="s">
        <v>134</v>
      </c>
      <c r="D10" s="305"/>
      <c r="E10" s="305"/>
      <c r="F10" s="305"/>
      <c r="G10" s="305"/>
      <c r="H10" s="305"/>
      <c r="I10" s="306"/>
      <c r="J10" s="185"/>
      <c r="K10" s="189" t="str">
        <f>IF((K47+K48)=2,'234. Werkkapitaal'!K1," ")</f>
        <v xml:space="preserve"> </v>
      </c>
      <c r="L10" s="211"/>
      <c r="M10" s="211" t="str">
        <f>IF((M47+M48)=2,'234. Werkkapitaal'!M1," ")</f>
        <v xml:space="preserve"> </v>
      </c>
      <c r="N10" s="211"/>
      <c r="O10" s="211" t="str">
        <f>IF((O47+O48)=2,'234. Werkkapitaal'!O1," ")</f>
        <v xml:space="preserve"> </v>
      </c>
      <c r="P10" s="211"/>
      <c r="Q10" s="190" t="str">
        <f>IF((Q47+Q48)=2,'234. Werkkapitaal'!Q1," ")</f>
        <v xml:space="preserve"> </v>
      </c>
    </row>
    <row r="11" spans="1:17" ht="50.1" customHeight="1">
      <c r="A11" s="294"/>
      <c r="B11" s="183"/>
      <c r="C11" s="186">
        <f>IF((C46+C47+C48)=3,'234. Werkkapitaal'!K1," ")</f>
        <v>2020</v>
      </c>
      <c r="D11" s="187"/>
      <c r="E11" s="187">
        <f>IF((E46+E47+E48)=3,'234. Werkkapitaal'!M1," ")</f>
        <v>2019</v>
      </c>
      <c r="F11" s="187"/>
      <c r="G11" s="187">
        <f>IF((G46+G47+G48)=3,'234. Werkkapitaal'!O1," ")</f>
        <v>2018</v>
      </c>
      <c r="H11" s="187"/>
      <c r="I11" s="188">
        <f>IF((I46+I47+I48)=3,'234. Werkkapitaal'!Q1," ")</f>
        <v>2017</v>
      </c>
      <c r="J11" s="185"/>
      <c r="K11" s="186"/>
      <c r="L11" s="187"/>
      <c r="M11" s="187"/>
      <c r="N11" s="187"/>
      <c r="O11" s="187"/>
      <c r="P11" s="187"/>
      <c r="Q11" s="188"/>
    </row>
    <row r="30" spans="1:17" s="180" customFormat="1" ht="35.1" customHeight="1">
      <c r="A30" s="75"/>
      <c r="B30" s="75"/>
      <c r="C30" s="311" t="s">
        <v>44</v>
      </c>
      <c r="D30" s="312"/>
      <c r="E30" s="312"/>
      <c r="F30" s="312"/>
      <c r="G30" s="312"/>
      <c r="H30" s="312"/>
      <c r="I30" s="313"/>
      <c r="J30" s="179"/>
      <c r="K30" s="311" t="s">
        <v>45</v>
      </c>
      <c r="L30" s="312"/>
      <c r="M30" s="312"/>
      <c r="N30" s="312"/>
      <c r="O30" s="312"/>
      <c r="P30" s="312"/>
      <c r="Q30" s="313"/>
    </row>
    <row r="31" spans="1:17" ht="5.0999999999999996" customHeight="1"/>
    <row r="32" spans="1:17" ht="30" customHeight="1">
      <c r="A32" s="292" t="s">
        <v>119</v>
      </c>
      <c r="C32" s="298" t="s">
        <v>136</v>
      </c>
      <c r="D32" s="299"/>
      <c r="E32" s="299"/>
      <c r="F32" s="299"/>
      <c r="G32" s="299"/>
      <c r="H32" s="299"/>
      <c r="I32" s="300"/>
      <c r="J32" s="185"/>
      <c r="K32" s="295" t="s">
        <v>133</v>
      </c>
      <c r="L32" s="296"/>
      <c r="M32" s="296"/>
      <c r="N32" s="296"/>
      <c r="O32" s="296"/>
      <c r="P32" s="296"/>
      <c r="Q32" s="297"/>
    </row>
    <row r="33" spans="1:17" ht="30" customHeight="1">
      <c r="A33" s="293"/>
      <c r="C33" s="301"/>
      <c r="D33" s="302"/>
      <c r="E33" s="302"/>
      <c r="F33" s="302"/>
      <c r="G33" s="302"/>
      <c r="H33" s="302"/>
      <c r="I33" s="303"/>
      <c r="J33" s="185"/>
      <c r="K33" s="192">
        <f>IF('234. Werkkapitaal'!K4&lt;0,1,0)</f>
        <v>0</v>
      </c>
      <c r="L33" s="73"/>
      <c r="M33" s="73">
        <f>IF('234. Werkkapitaal'!M4&lt;0,1,0)</f>
        <v>0</v>
      </c>
      <c r="N33" s="73"/>
      <c r="O33" s="73">
        <f>IF('234. Werkkapitaal'!O4&lt;0,1,0)</f>
        <v>0</v>
      </c>
      <c r="P33" s="73"/>
      <c r="Q33" s="193">
        <f>IF('234. Werkkapitaal'!Q4&lt;0,1,0)</f>
        <v>0</v>
      </c>
    </row>
    <row r="34" spans="1:17" ht="30" customHeight="1">
      <c r="A34" s="293"/>
      <c r="C34" s="301"/>
      <c r="D34" s="302"/>
      <c r="E34" s="302"/>
      <c r="F34" s="302"/>
      <c r="G34" s="302"/>
      <c r="H34" s="302"/>
      <c r="I34" s="303"/>
      <c r="J34" s="185"/>
      <c r="K34" s="192">
        <f>IF('234. Werkkapitaal'!K7&lt;0,1,0)</f>
        <v>0</v>
      </c>
      <c r="L34" s="73"/>
      <c r="M34" s="73">
        <f>IF('234. Werkkapitaal'!M7&lt;0,1,0)</f>
        <v>0</v>
      </c>
      <c r="N34" s="73"/>
      <c r="O34" s="73">
        <f>IF('234. Werkkapitaal'!O7&lt;0,1,0)</f>
        <v>0</v>
      </c>
      <c r="P34" s="73"/>
      <c r="Q34" s="193">
        <f>IF('234. Werkkapitaal'!Q7&lt;0,1,0)</f>
        <v>0</v>
      </c>
    </row>
    <row r="35" spans="1:17" ht="30" customHeight="1">
      <c r="A35" s="293"/>
      <c r="C35" s="301"/>
      <c r="D35" s="302"/>
      <c r="E35" s="302"/>
      <c r="F35" s="302"/>
      <c r="G35" s="302"/>
      <c r="H35" s="302"/>
      <c r="I35" s="303"/>
      <c r="J35" s="185"/>
      <c r="K35" s="192">
        <f>IF('234. Werkkapitaal'!K6&gt;0,1,0)</f>
        <v>0</v>
      </c>
      <c r="L35" s="73"/>
      <c r="M35" s="73">
        <f>IF('234. Werkkapitaal'!M6&gt;0,1,0)</f>
        <v>0</v>
      </c>
      <c r="N35" s="73"/>
      <c r="O35" s="73">
        <f>IF('234. Werkkapitaal'!O6&gt;0,1,0)</f>
        <v>0</v>
      </c>
      <c r="P35" s="73"/>
      <c r="Q35" s="193">
        <f>IF('234. Werkkapitaal'!Q6&gt;0,1,0)</f>
        <v>0</v>
      </c>
    </row>
    <row r="36" spans="1:17" ht="30" customHeight="1">
      <c r="A36" s="293"/>
      <c r="C36" s="201"/>
      <c r="D36" s="202"/>
      <c r="E36" s="202"/>
      <c r="F36" s="202"/>
      <c r="G36" s="202"/>
      <c r="H36" s="202"/>
      <c r="I36" s="203"/>
      <c r="J36" s="185"/>
      <c r="K36" s="295" t="s">
        <v>134</v>
      </c>
      <c r="L36" s="296"/>
      <c r="M36" s="296"/>
      <c r="N36" s="296"/>
      <c r="O36" s="296"/>
      <c r="P36" s="296"/>
      <c r="Q36" s="297"/>
    </row>
    <row r="37" spans="1:17" ht="30" customHeight="1">
      <c r="A37" s="293"/>
      <c r="C37" s="201"/>
      <c r="D37" s="202"/>
      <c r="E37" s="202"/>
      <c r="F37" s="202"/>
      <c r="G37" s="202"/>
      <c r="H37" s="202"/>
      <c r="I37" s="203"/>
      <c r="J37" s="185"/>
      <c r="K37" s="192">
        <f>IF('234. Werkkapitaal'!K4&lt;0,1,0)</f>
        <v>0</v>
      </c>
      <c r="L37" s="73"/>
      <c r="M37" s="73">
        <f>IF('234. Werkkapitaal'!M4&lt;0,1,0)</f>
        <v>0</v>
      </c>
      <c r="N37" s="73"/>
      <c r="O37" s="73">
        <f>IF('234. Werkkapitaal'!O4&lt;0,1,0)</f>
        <v>0</v>
      </c>
      <c r="P37" s="73"/>
      <c r="Q37" s="193">
        <f>IF('234. Werkkapitaal'!Q4&lt;0,1,0)</f>
        <v>0</v>
      </c>
    </row>
    <row r="38" spans="1:17" ht="30" customHeight="1">
      <c r="A38" s="293"/>
      <c r="C38" s="201">
        <f>IF('234. Werkkapitaal'!K4&gt;0,1,0)</f>
        <v>1</v>
      </c>
      <c r="D38" s="202"/>
      <c r="E38" s="202">
        <f>IF('234. Werkkapitaal'!M4&gt;0,1,0)</f>
        <v>1</v>
      </c>
      <c r="F38" s="202"/>
      <c r="G38" s="202">
        <f>IF('234. Werkkapitaal'!O4&gt;0,1,0)</f>
        <v>1</v>
      </c>
      <c r="H38" s="202"/>
      <c r="I38" s="203">
        <f>IF('234. Werkkapitaal'!Q4&gt;0,1,0)</f>
        <v>1</v>
      </c>
      <c r="J38" s="185"/>
      <c r="K38" s="192">
        <f>IF('234. Werkkapitaal'!K7&lt;0,1,0)</f>
        <v>0</v>
      </c>
      <c r="L38" s="73"/>
      <c r="M38" s="73">
        <f>IF('234. Werkkapitaal'!M7&lt;0,1,0)</f>
        <v>0</v>
      </c>
      <c r="N38" s="73"/>
      <c r="O38" s="73">
        <f>IF('234. Werkkapitaal'!O7&lt;0,1,0)</f>
        <v>0</v>
      </c>
      <c r="P38" s="73"/>
      <c r="Q38" s="193">
        <f>IF('234. Werkkapitaal'!Q7&lt;0,1,0)</f>
        <v>0</v>
      </c>
    </row>
    <row r="39" spans="1:17" ht="30" customHeight="1">
      <c r="A39" s="294"/>
      <c r="C39" s="204">
        <f>IF('234. Werkkapitaal'!K7&lt;0,1,0)</f>
        <v>0</v>
      </c>
      <c r="D39" s="205"/>
      <c r="E39" s="205">
        <f>IF('234. Werkkapitaal'!M7&lt;0,1,0)</f>
        <v>0</v>
      </c>
      <c r="F39" s="205"/>
      <c r="G39" s="205">
        <f>IF('234. Werkkapitaal'!O7&lt;0,1,0)</f>
        <v>0</v>
      </c>
      <c r="H39" s="205"/>
      <c r="I39" s="206">
        <f>IF('234. Werkkapitaal'!Q7&lt;0,1,0)</f>
        <v>0</v>
      </c>
      <c r="J39" s="185"/>
      <c r="K39" s="194">
        <f>IF('234. Werkkapitaal'!K6&lt;0,1,0)</f>
        <v>1</v>
      </c>
      <c r="L39" s="195"/>
      <c r="M39" s="195">
        <f>IF('234. Werkkapitaal'!M6&lt;0,1,0)</f>
        <v>1</v>
      </c>
      <c r="N39" s="195"/>
      <c r="O39" s="195">
        <f>IF('234. Werkkapitaal'!O6&lt;0,1,0)</f>
        <v>1</v>
      </c>
      <c r="P39" s="195"/>
      <c r="Q39" s="196">
        <f>IF('234. Werkkapitaal'!Q6&lt;0,1,0)</f>
        <v>1</v>
      </c>
    </row>
    <row r="40" spans="1:17" ht="5.0999999999999996" customHeight="1"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1:17" ht="30" customHeight="1">
      <c r="A41" s="292" t="s">
        <v>118</v>
      </c>
      <c r="C41" s="295" t="s">
        <v>133</v>
      </c>
      <c r="D41" s="296"/>
      <c r="E41" s="296"/>
      <c r="F41" s="296"/>
      <c r="G41" s="296"/>
      <c r="H41" s="296"/>
      <c r="I41" s="297"/>
      <c r="J41" s="185"/>
      <c r="K41" s="298" t="s">
        <v>137</v>
      </c>
      <c r="L41" s="299"/>
      <c r="M41" s="299"/>
      <c r="N41" s="299"/>
      <c r="O41" s="299"/>
      <c r="P41" s="299"/>
      <c r="Q41" s="300"/>
    </row>
    <row r="42" spans="1:17" ht="30" customHeight="1">
      <c r="A42" s="293"/>
      <c r="C42" s="192">
        <f>IF('234. Werkkapitaal'!K4&gt;0,1,0)</f>
        <v>1</v>
      </c>
      <c r="D42" s="73"/>
      <c r="E42" s="73">
        <f>IF('234. Werkkapitaal'!M4&gt;0,1,0)</f>
        <v>1</v>
      </c>
      <c r="F42" s="73"/>
      <c r="G42" s="73">
        <f>IF('234. Werkkapitaal'!O4&gt;0,1,0)</f>
        <v>1</v>
      </c>
      <c r="H42" s="73"/>
      <c r="I42" s="193">
        <f>IF('234. Werkkapitaal'!Q4&gt;0,1,0)</f>
        <v>1</v>
      </c>
      <c r="J42" s="185"/>
      <c r="K42" s="301"/>
      <c r="L42" s="302"/>
      <c r="M42" s="302"/>
      <c r="N42" s="302"/>
      <c r="O42" s="302"/>
      <c r="P42" s="302"/>
      <c r="Q42" s="303"/>
    </row>
    <row r="43" spans="1:17" ht="30" customHeight="1">
      <c r="A43" s="293"/>
      <c r="C43" s="192">
        <f>IF('234. Werkkapitaal'!K7&gt;0,1,0)</f>
        <v>1</v>
      </c>
      <c r="D43" s="73"/>
      <c r="E43" s="73">
        <f>IF('234. Werkkapitaal'!M7&gt;0,1,0)</f>
        <v>1</v>
      </c>
      <c r="F43" s="73"/>
      <c r="G43" s="73">
        <f>IF('234. Werkkapitaal'!O7&gt;0,1,0)</f>
        <v>1</v>
      </c>
      <c r="H43" s="73"/>
      <c r="I43" s="193">
        <f>IF('234. Werkkapitaal'!Q7&gt;0,1,0)</f>
        <v>1</v>
      </c>
      <c r="J43" s="185"/>
      <c r="K43" s="301"/>
      <c r="L43" s="302"/>
      <c r="M43" s="302"/>
      <c r="N43" s="302"/>
      <c r="O43" s="302"/>
      <c r="P43" s="302"/>
      <c r="Q43" s="303"/>
    </row>
    <row r="44" spans="1:17" ht="30" customHeight="1">
      <c r="A44" s="293"/>
      <c r="C44" s="192">
        <f>IF('234. Werkkapitaal'!K6&gt;0,1,0)</f>
        <v>0</v>
      </c>
      <c r="D44" s="73"/>
      <c r="E44" s="73">
        <f>IF('234. Werkkapitaal'!M6&gt;0,1,0)</f>
        <v>0</v>
      </c>
      <c r="F44" s="73"/>
      <c r="G44" s="73">
        <f>IF('234. Werkkapitaal'!O6&gt;0,1,0)</f>
        <v>0</v>
      </c>
      <c r="H44" s="73"/>
      <c r="I44" s="193">
        <f>IF('234. Werkkapitaal'!Q6&gt;0,1,0)</f>
        <v>0</v>
      </c>
      <c r="J44" s="185"/>
      <c r="K44" s="301"/>
      <c r="L44" s="302"/>
      <c r="M44" s="302"/>
      <c r="N44" s="302"/>
      <c r="O44" s="302"/>
      <c r="P44" s="302"/>
      <c r="Q44" s="303"/>
    </row>
    <row r="45" spans="1:17" ht="30" customHeight="1">
      <c r="A45" s="293"/>
      <c r="C45" s="295" t="s">
        <v>134</v>
      </c>
      <c r="D45" s="296"/>
      <c r="E45" s="296"/>
      <c r="F45" s="296"/>
      <c r="G45" s="296"/>
      <c r="H45" s="296"/>
      <c r="I45" s="297"/>
      <c r="J45" s="185"/>
      <c r="K45" s="201"/>
      <c r="L45" s="202"/>
      <c r="M45" s="202"/>
      <c r="N45" s="202"/>
      <c r="O45" s="202"/>
      <c r="P45" s="202"/>
      <c r="Q45" s="203"/>
    </row>
    <row r="46" spans="1:17" ht="30" customHeight="1">
      <c r="A46" s="293"/>
      <c r="C46" s="192">
        <f>IF('234. Werkkapitaal'!K4&gt;0,1,0)</f>
        <v>1</v>
      </c>
      <c r="D46" s="73"/>
      <c r="E46" s="73">
        <f>IF('234. Werkkapitaal'!M4&gt;0,1,0)</f>
        <v>1</v>
      </c>
      <c r="F46" s="73"/>
      <c r="G46" s="73">
        <f>IF('234. Werkkapitaal'!O4&gt;0,1,0)</f>
        <v>1</v>
      </c>
      <c r="H46" s="73"/>
      <c r="I46" s="193">
        <f>IF('234. Werkkapitaal'!Q4&gt;0,1,0)</f>
        <v>1</v>
      </c>
      <c r="J46" s="185"/>
      <c r="K46" s="201"/>
      <c r="L46" s="202"/>
      <c r="M46" s="202"/>
      <c r="N46" s="202"/>
      <c r="O46" s="202"/>
      <c r="P46" s="202"/>
      <c r="Q46" s="203"/>
    </row>
    <row r="47" spans="1:17" ht="30" customHeight="1">
      <c r="A47" s="293"/>
      <c r="C47" s="192">
        <f>IF('234. Werkkapitaal'!K7&gt;0,1,0)</f>
        <v>1</v>
      </c>
      <c r="D47" s="73"/>
      <c r="E47" s="73">
        <f>IF('234. Werkkapitaal'!M7&gt;0,1,0)</f>
        <v>1</v>
      </c>
      <c r="F47" s="73"/>
      <c r="G47" s="73">
        <f>IF('234. Werkkapitaal'!O7&gt;0,1,0)</f>
        <v>1</v>
      </c>
      <c r="H47" s="73"/>
      <c r="I47" s="193">
        <f>IF('234. Werkkapitaal'!Q7&gt;0,1,0)</f>
        <v>1</v>
      </c>
      <c r="J47" s="185"/>
      <c r="K47" s="201">
        <f>IF('234. Werkkapitaal'!K4&lt;0,1,0)</f>
        <v>0</v>
      </c>
      <c r="L47" s="202"/>
      <c r="M47" s="202">
        <f>IF('234. Werkkapitaal'!M4&lt;0,1,0)</f>
        <v>0</v>
      </c>
      <c r="N47" s="202"/>
      <c r="O47" s="202">
        <f>IF('234. Werkkapitaal'!O4&lt;0,1,0)</f>
        <v>0</v>
      </c>
      <c r="P47" s="202"/>
      <c r="Q47" s="203">
        <f>IF('234. Werkkapitaal'!Q4&lt;0,1,0)</f>
        <v>0</v>
      </c>
    </row>
    <row r="48" spans="1:17" ht="30" customHeight="1">
      <c r="A48" s="294"/>
      <c r="C48" s="194">
        <f>IF('234. Werkkapitaal'!K6&lt;0,1,0)</f>
        <v>1</v>
      </c>
      <c r="D48" s="195"/>
      <c r="E48" s="195">
        <f>IF('234. Werkkapitaal'!M6&lt;0,1,0)</f>
        <v>1</v>
      </c>
      <c r="F48" s="195"/>
      <c r="G48" s="195">
        <f>IF('234. Werkkapitaal'!O6&lt;0,1,0)</f>
        <v>1</v>
      </c>
      <c r="H48" s="195"/>
      <c r="I48" s="196">
        <f>IF('234. Werkkapitaal'!Q6&lt;0,1,0)</f>
        <v>1</v>
      </c>
      <c r="J48" s="185"/>
      <c r="K48" s="204">
        <f>IF('234. Werkkapitaal'!K7&gt;0,1,0)</f>
        <v>1</v>
      </c>
      <c r="L48" s="205"/>
      <c r="M48" s="205">
        <f>IF('234. Werkkapitaal'!M7&gt;0,1,0)</f>
        <v>1</v>
      </c>
      <c r="N48" s="205"/>
      <c r="O48" s="205">
        <f>IF('234. Werkkapitaal'!O7&gt;0,1,0)</f>
        <v>1</v>
      </c>
      <c r="P48" s="205"/>
      <c r="Q48" s="206">
        <f>IF('234. Werkkapitaal'!Q7&gt;0,1,0)</f>
        <v>1</v>
      </c>
    </row>
  </sheetData>
  <mergeCells count="20">
    <mergeCell ref="A3:A6"/>
    <mergeCell ref="A8:A11"/>
    <mergeCell ref="C8:I8"/>
    <mergeCell ref="C1:I1"/>
    <mergeCell ref="K1:Q1"/>
    <mergeCell ref="C3:I4"/>
    <mergeCell ref="K3:Q3"/>
    <mergeCell ref="K5:Q5"/>
    <mergeCell ref="A41:A48"/>
    <mergeCell ref="C41:I41"/>
    <mergeCell ref="K41:Q44"/>
    <mergeCell ref="C45:I45"/>
    <mergeCell ref="K8:Q9"/>
    <mergeCell ref="C10:I10"/>
    <mergeCell ref="C30:I30"/>
    <mergeCell ref="K30:Q30"/>
    <mergeCell ref="A32:A39"/>
    <mergeCell ref="C32:I35"/>
    <mergeCell ref="K32:Q32"/>
    <mergeCell ref="K36:Q36"/>
  </mergeCells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7612-B45F-4D6A-A04B-F2D9178B2E87}">
  <sheetPr>
    <tabColor theme="6" tint="0.39997558519241921"/>
  </sheetPr>
  <dimension ref="A1:AK21"/>
  <sheetViews>
    <sheetView zoomScale="120" zoomScaleNormal="120" workbookViewId="0"/>
  </sheetViews>
  <sheetFormatPr defaultRowHeight="20.100000000000001" customHeight="1"/>
  <cols>
    <col min="1" max="1" width="1.7109375" style="32" customWidth="1"/>
    <col min="2" max="2" width="10.7109375" style="32" customWidth="1"/>
    <col min="3" max="3" width="1.7109375" style="32" customWidth="1"/>
    <col min="4" max="4" width="22.28515625" style="48" bestFit="1" customWidth="1"/>
    <col min="5" max="5" width="2.7109375" style="217" customWidth="1"/>
    <col min="6" max="6" width="37.42578125" style="213" bestFit="1" customWidth="1"/>
    <col min="7" max="7" width="1.7109375" style="213" customWidth="1"/>
    <col min="8" max="8" width="20" style="221" bestFit="1" customWidth="1"/>
    <col min="9" max="9" width="1.7109375" style="213" customWidth="1"/>
    <col min="10" max="10" width="12.7109375" style="221" customWidth="1"/>
    <col min="11" max="11" width="1.7109375" style="221" customWidth="1"/>
    <col min="12" max="12" width="12.7109375" style="221" customWidth="1"/>
    <col min="13" max="13" width="1.7109375" style="221" customWidth="1"/>
    <col min="14" max="14" width="12.7109375" style="221" customWidth="1"/>
    <col min="15" max="15" width="1.7109375" style="221" customWidth="1"/>
    <col min="16" max="16" width="12.7109375" style="221" customWidth="1"/>
    <col min="17" max="17" width="1.7109375" style="217" customWidth="1"/>
    <col min="18" max="37" width="9.140625" style="217"/>
    <col min="38" max="16384" width="9.140625" style="32"/>
  </cols>
  <sheetData>
    <row r="1" spans="1:37" ht="30" customHeight="1">
      <c r="A1" s="167"/>
      <c r="B1" s="168" t="s">
        <v>147</v>
      </c>
      <c r="C1" s="168"/>
      <c r="D1" s="168"/>
      <c r="E1" s="169"/>
      <c r="F1" s="170"/>
      <c r="G1" s="170"/>
      <c r="H1" s="220"/>
      <c r="I1" s="170"/>
      <c r="J1" s="219">
        <f>Balans!C2</f>
        <v>2020</v>
      </c>
      <c r="K1" s="220"/>
      <c r="L1" s="219">
        <f>Balans!E2</f>
        <v>2019</v>
      </c>
      <c r="M1" s="220"/>
      <c r="N1" s="219">
        <f>Balans!G2</f>
        <v>2018</v>
      </c>
      <c r="O1" s="220"/>
      <c r="P1" s="219">
        <f>Balans!I2</f>
        <v>2017</v>
      </c>
      <c r="Q1" s="218"/>
    </row>
    <row r="2" spans="1:37" s="233" customFormat="1" ht="20.100000000000001" customHeight="1">
      <c r="A2" s="227"/>
      <c r="B2" s="270"/>
      <c r="C2" s="270"/>
      <c r="D2" s="228"/>
      <c r="E2" s="229"/>
      <c r="F2" s="230"/>
      <c r="G2" s="230"/>
      <c r="H2" s="231"/>
      <c r="I2" s="230"/>
      <c r="J2" s="231"/>
      <c r="K2" s="231"/>
      <c r="L2" s="231"/>
      <c r="M2" s="231"/>
      <c r="N2" s="231"/>
      <c r="O2" s="231"/>
      <c r="P2" s="231"/>
      <c r="Q2" s="23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</row>
    <row r="3" spans="1:37" s="233" customFormat="1" ht="20.100000000000001" customHeight="1">
      <c r="A3" s="234"/>
      <c r="B3" s="238" t="s">
        <v>143</v>
      </c>
      <c r="C3" s="238" t="s">
        <v>16</v>
      </c>
      <c r="D3" s="233" t="s">
        <v>138</v>
      </c>
      <c r="E3" s="235" t="s">
        <v>139</v>
      </c>
      <c r="F3" s="216" t="s">
        <v>140</v>
      </c>
      <c r="G3" s="216"/>
      <c r="H3" s="222" t="s">
        <v>149</v>
      </c>
      <c r="I3" s="216" t="s">
        <v>16</v>
      </c>
      <c r="J3" s="222">
        <f>2%*'V&amp;W'!E6</f>
        <v>830.4</v>
      </c>
      <c r="K3" s="222"/>
      <c r="L3" s="222">
        <f>2%*'V&amp;W'!G6</f>
        <v>801.6</v>
      </c>
      <c r="M3" s="222"/>
      <c r="N3" s="222">
        <f>2%*'V&amp;W'!I6</f>
        <v>871</v>
      </c>
      <c r="O3" s="222"/>
      <c r="P3" s="242" t="s">
        <v>4</v>
      </c>
      <c r="Q3" s="214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</row>
    <row r="4" spans="1:37" s="233" customFormat="1" ht="20.100000000000001" customHeight="1">
      <c r="A4" s="234"/>
      <c r="B4" s="238"/>
      <c r="C4" s="238"/>
      <c r="D4" s="216"/>
      <c r="E4" s="236"/>
      <c r="F4" s="216"/>
      <c r="G4" s="216"/>
      <c r="H4" s="222" t="s">
        <v>148</v>
      </c>
      <c r="I4" s="216" t="s">
        <v>16</v>
      </c>
      <c r="J4" s="223">
        <f>'234. Werkkapitaal'!K5</f>
        <v>680</v>
      </c>
      <c r="K4" s="222"/>
      <c r="L4" s="223">
        <f>'234. Werkkapitaal'!M5</f>
        <v>310</v>
      </c>
      <c r="M4" s="222"/>
      <c r="N4" s="223">
        <f>'234. Werkkapitaal'!O5</f>
        <v>200</v>
      </c>
      <c r="O4" s="222"/>
      <c r="P4" s="249" t="s">
        <v>4</v>
      </c>
      <c r="Q4" s="214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</row>
    <row r="5" spans="1:37" s="238" customFormat="1" ht="20.100000000000001" customHeight="1">
      <c r="A5" s="237"/>
      <c r="D5" s="224"/>
      <c r="E5" s="239"/>
      <c r="F5" s="224"/>
      <c r="G5" s="224"/>
      <c r="H5" s="225" t="s">
        <v>150</v>
      </c>
      <c r="I5" s="224" t="s">
        <v>16</v>
      </c>
      <c r="J5" s="225">
        <f>J4-J3</f>
        <v>-150.39999999999998</v>
      </c>
      <c r="K5" s="225"/>
      <c r="L5" s="225">
        <f t="shared" ref="L5" si="0">L4-L3</f>
        <v>-491.6</v>
      </c>
      <c r="M5" s="225"/>
      <c r="N5" s="225">
        <f t="shared" ref="N5" si="1">N4-N3</f>
        <v>-671</v>
      </c>
      <c r="O5" s="225"/>
      <c r="P5" s="250" t="s">
        <v>4</v>
      </c>
      <c r="Q5" s="226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</row>
    <row r="6" spans="1:37" s="233" customFormat="1" ht="20.100000000000001" customHeight="1">
      <c r="A6" s="234"/>
      <c r="B6" s="238"/>
      <c r="C6" s="238"/>
      <c r="D6" s="216"/>
      <c r="E6" s="236"/>
      <c r="F6" s="216"/>
      <c r="G6" s="216"/>
      <c r="H6" s="222"/>
      <c r="I6" s="216"/>
      <c r="J6" s="222"/>
      <c r="K6" s="222"/>
      <c r="L6" s="222"/>
      <c r="M6" s="222"/>
      <c r="N6" s="222"/>
      <c r="O6" s="222"/>
      <c r="P6" s="222"/>
      <c r="Q6" s="214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</row>
    <row r="7" spans="1:37" s="233" customFormat="1" ht="20.100000000000001" customHeight="1">
      <c r="A7" s="234"/>
      <c r="B7" s="238" t="s">
        <v>144</v>
      </c>
      <c r="C7" s="238" t="s">
        <v>16</v>
      </c>
      <c r="D7" s="233" t="s">
        <v>138</v>
      </c>
      <c r="E7" s="235" t="s">
        <v>139</v>
      </c>
      <c r="F7" s="216" t="s">
        <v>141</v>
      </c>
      <c r="G7" s="216"/>
      <c r="H7" s="222" t="s">
        <v>149</v>
      </c>
      <c r="I7" s="216" t="s">
        <v>16</v>
      </c>
      <c r="J7" s="222">
        <f>(1/12)*'V&amp;W'!E6</f>
        <v>3460</v>
      </c>
      <c r="K7" s="222"/>
      <c r="L7" s="222">
        <f>(1/12)*'V&amp;W'!G6</f>
        <v>3340</v>
      </c>
      <c r="M7" s="222"/>
      <c r="N7" s="222">
        <f>(1/12)*'V&amp;W'!I6</f>
        <v>3629.1666666666665</v>
      </c>
      <c r="O7" s="222"/>
      <c r="P7" s="242" t="s">
        <v>4</v>
      </c>
      <c r="Q7" s="214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</row>
    <row r="8" spans="1:37" s="233" customFormat="1" ht="20.100000000000001" customHeight="1">
      <c r="A8" s="234"/>
      <c r="B8" s="238"/>
      <c r="C8" s="238"/>
      <c r="E8" s="235"/>
      <c r="F8" s="216"/>
      <c r="G8" s="216"/>
      <c r="H8" s="222" t="s">
        <v>148</v>
      </c>
      <c r="I8" s="216" t="s">
        <v>16</v>
      </c>
      <c r="J8" s="223">
        <f>'234. Werkkapitaal'!K5</f>
        <v>680</v>
      </c>
      <c r="K8" s="222"/>
      <c r="L8" s="223">
        <f>'234. Werkkapitaal'!M5</f>
        <v>310</v>
      </c>
      <c r="M8" s="222"/>
      <c r="N8" s="223">
        <f>'234. Werkkapitaal'!O5</f>
        <v>200</v>
      </c>
      <c r="O8" s="222"/>
      <c r="P8" s="249" t="s">
        <v>4</v>
      </c>
      <c r="Q8" s="214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</row>
    <row r="9" spans="1:37" s="233" customFormat="1" ht="20.100000000000001" customHeight="1">
      <c r="A9" s="234"/>
      <c r="B9" s="238"/>
      <c r="C9" s="238"/>
      <c r="E9" s="235"/>
      <c r="F9" s="216"/>
      <c r="G9" s="216"/>
      <c r="H9" s="225" t="s">
        <v>150</v>
      </c>
      <c r="I9" s="224" t="s">
        <v>16</v>
      </c>
      <c r="J9" s="225">
        <f>J8-J7</f>
        <v>-2780</v>
      </c>
      <c r="K9" s="225"/>
      <c r="L9" s="225">
        <f t="shared" ref="L9" si="2">L8-L7</f>
        <v>-3030</v>
      </c>
      <c r="M9" s="225"/>
      <c r="N9" s="225">
        <f t="shared" ref="N9" si="3">N8-N7</f>
        <v>-3429.1666666666665</v>
      </c>
      <c r="O9" s="225"/>
      <c r="P9" s="250" t="s">
        <v>4</v>
      </c>
      <c r="Q9" s="214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</row>
    <row r="10" spans="1:37" s="233" customFormat="1" ht="20.100000000000001" customHeight="1">
      <c r="A10" s="234"/>
      <c r="B10" s="238"/>
      <c r="C10" s="238"/>
      <c r="D10" s="216"/>
      <c r="E10" s="236"/>
      <c r="F10" s="216"/>
      <c r="G10" s="216"/>
      <c r="H10" s="222"/>
      <c r="I10" s="216"/>
      <c r="J10" s="222"/>
      <c r="K10" s="222"/>
      <c r="L10" s="222"/>
      <c r="M10" s="222"/>
      <c r="N10" s="222"/>
      <c r="O10" s="222"/>
      <c r="P10" s="222"/>
      <c r="Q10" s="214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</row>
    <row r="11" spans="1:37" s="238" customFormat="1" ht="20.100000000000001" customHeight="1">
      <c r="A11" s="237"/>
      <c r="B11" s="238" t="s">
        <v>145</v>
      </c>
      <c r="C11" s="238" t="s">
        <v>16</v>
      </c>
      <c r="D11" s="233" t="s">
        <v>138</v>
      </c>
      <c r="E11" s="235" t="s">
        <v>139</v>
      </c>
      <c r="F11" s="216" t="s">
        <v>142</v>
      </c>
      <c r="G11" s="216"/>
      <c r="H11" s="222" t="s">
        <v>149</v>
      </c>
      <c r="I11" s="216" t="s">
        <v>16</v>
      </c>
      <c r="J11" s="222">
        <f>0.2*Balans!M24</f>
        <v>3239</v>
      </c>
      <c r="K11" s="222"/>
      <c r="L11" s="222">
        <f>0.2*Balans!O24</f>
        <v>3808</v>
      </c>
      <c r="M11" s="222"/>
      <c r="N11" s="222">
        <f>0.2*Balans!Q24</f>
        <v>3745</v>
      </c>
      <c r="O11" s="222"/>
      <c r="P11" s="222">
        <f>0.2*Balans!S24</f>
        <v>3321</v>
      </c>
      <c r="Q11" s="226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</row>
    <row r="12" spans="1:37" s="238" customFormat="1" ht="20.100000000000001" customHeight="1">
      <c r="A12" s="237"/>
      <c r="D12" s="233"/>
      <c r="E12" s="235"/>
      <c r="F12" s="216"/>
      <c r="G12" s="216"/>
      <c r="H12" s="222" t="s">
        <v>148</v>
      </c>
      <c r="I12" s="216" t="s">
        <v>16</v>
      </c>
      <c r="J12" s="223">
        <f>'234. Werkkapitaal'!K5</f>
        <v>680</v>
      </c>
      <c r="K12" s="222"/>
      <c r="L12" s="223">
        <f>'234. Werkkapitaal'!M5</f>
        <v>310</v>
      </c>
      <c r="M12" s="222"/>
      <c r="N12" s="223">
        <f>'234. Werkkapitaal'!O5</f>
        <v>200</v>
      </c>
      <c r="O12" s="222"/>
      <c r="P12" s="223">
        <f>'234. Werkkapitaal'!Q5</f>
        <v>280</v>
      </c>
      <c r="Q12" s="226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</row>
    <row r="13" spans="1:37" s="238" customFormat="1" ht="20.100000000000001" customHeight="1">
      <c r="A13" s="237"/>
      <c r="D13" s="233"/>
      <c r="E13" s="235"/>
      <c r="F13" s="216"/>
      <c r="G13" s="216"/>
      <c r="H13" s="225" t="s">
        <v>150</v>
      </c>
      <c r="I13" s="224" t="s">
        <v>16</v>
      </c>
      <c r="J13" s="225">
        <f>J12-J11</f>
        <v>-2559</v>
      </c>
      <c r="K13" s="225"/>
      <c r="L13" s="225">
        <f t="shared" ref="L13" si="4">L12-L11</f>
        <v>-3498</v>
      </c>
      <c r="M13" s="225"/>
      <c r="N13" s="225">
        <f t="shared" ref="N13" si="5">N12-N11</f>
        <v>-3545</v>
      </c>
      <c r="O13" s="225"/>
      <c r="P13" s="225">
        <f t="shared" ref="P13" si="6">P12-P11</f>
        <v>-3041</v>
      </c>
      <c r="Q13" s="226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</row>
    <row r="14" spans="1:37" s="238" customFormat="1" ht="20.100000000000001" customHeight="1">
      <c r="A14" s="237"/>
      <c r="D14" s="233"/>
      <c r="E14" s="235"/>
      <c r="F14" s="216"/>
      <c r="G14" s="216"/>
      <c r="H14" s="222"/>
      <c r="I14" s="216"/>
      <c r="J14" s="222"/>
      <c r="K14" s="222"/>
      <c r="L14" s="222"/>
      <c r="M14" s="222"/>
      <c r="N14" s="222"/>
      <c r="O14" s="222"/>
      <c r="P14" s="222"/>
      <c r="Q14" s="226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</row>
    <row r="15" spans="1:37" s="233" customFormat="1" ht="20.100000000000001" customHeight="1">
      <c r="A15" s="234"/>
      <c r="B15" s="238" t="s">
        <v>146</v>
      </c>
      <c r="C15" s="238" t="s">
        <v>16</v>
      </c>
      <c r="D15" s="233" t="s">
        <v>138</v>
      </c>
      <c r="E15" s="235" t="s">
        <v>139</v>
      </c>
      <c r="F15" s="216" t="s">
        <v>158</v>
      </c>
      <c r="G15" s="216"/>
      <c r="Q15" s="214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</row>
    <row r="16" spans="1:37" s="238" customFormat="1" ht="20.100000000000001" customHeight="1">
      <c r="A16" s="237"/>
      <c r="D16" s="216"/>
      <c r="E16" s="240" t="s">
        <v>139</v>
      </c>
      <c r="F16" s="241" t="s">
        <v>159</v>
      </c>
      <c r="G16" s="241"/>
      <c r="H16" s="222" t="s">
        <v>149</v>
      </c>
      <c r="I16" s="216" t="s">
        <v>16</v>
      </c>
      <c r="J16" s="222">
        <f>'239. Activiteit'!F27*'V&amp;W'!E8/365</f>
        <v>19786.714836223509</v>
      </c>
      <c r="K16" s="222"/>
      <c r="L16" s="222">
        <f>'239. Activiteit'!H27*'V&amp;W'!G8/365</f>
        <v>20133.038922155683</v>
      </c>
      <c r="M16" s="222"/>
      <c r="N16" s="222">
        <f>'239. Activiteit'!J27*'V&amp;W'!I8/365</f>
        <v>20063.523536165325</v>
      </c>
      <c r="O16" s="222"/>
      <c r="P16" s="242" t="s">
        <v>4</v>
      </c>
      <c r="Q16" s="226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</row>
    <row r="17" spans="1:37" s="238" customFormat="1" ht="20.100000000000001" customHeight="1">
      <c r="A17" s="237"/>
      <c r="D17" s="216"/>
      <c r="E17" s="240"/>
      <c r="F17" s="241"/>
      <c r="G17" s="241"/>
      <c r="H17" s="222" t="s">
        <v>148</v>
      </c>
      <c r="I17" s="216" t="s">
        <v>16</v>
      </c>
      <c r="J17" s="223">
        <f>'234. Werkkapitaal'!K5</f>
        <v>680</v>
      </c>
      <c r="K17" s="222"/>
      <c r="L17" s="223">
        <f>'234. Werkkapitaal'!M5</f>
        <v>310</v>
      </c>
      <c r="M17" s="222"/>
      <c r="N17" s="223">
        <f>'234. Werkkapitaal'!O5</f>
        <v>200</v>
      </c>
      <c r="O17" s="222"/>
      <c r="P17" s="249" t="s">
        <v>4</v>
      </c>
      <c r="Q17" s="226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</row>
    <row r="18" spans="1:37" s="238" customFormat="1" ht="20.100000000000001" customHeight="1">
      <c r="A18" s="237"/>
      <c r="D18" s="216"/>
      <c r="E18" s="240"/>
      <c r="F18" s="241"/>
      <c r="G18" s="241"/>
      <c r="H18" s="225" t="s">
        <v>150</v>
      </c>
      <c r="I18" s="224" t="s">
        <v>16</v>
      </c>
      <c r="J18" s="225">
        <f>J17-J16</f>
        <v>-19106.714836223509</v>
      </c>
      <c r="K18" s="225"/>
      <c r="L18" s="225">
        <f t="shared" ref="L18" si="7">L17-L16</f>
        <v>-19823.038922155683</v>
      </c>
      <c r="M18" s="225"/>
      <c r="N18" s="225">
        <f t="shared" ref="N18" si="8">N17-N16</f>
        <v>-19863.523536165325</v>
      </c>
      <c r="O18" s="225"/>
      <c r="P18" s="250" t="s">
        <v>4</v>
      </c>
      <c r="Q18" s="226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</row>
    <row r="19" spans="1:37" s="238" customFormat="1" ht="20.100000000000001" customHeight="1">
      <c r="A19" s="243"/>
      <c r="B19" s="244"/>
      <c r="C19" s="244"/>
      <c r="D19" s="245"/>
      <c r="E19" s="246"/>
      <c r="F19" s="247"/>
      <c r="G19" s="247"/>
      <c r="H19" s="223"/>
      <c r="I19" s="247"/>
      <c r="J19" s="223"/>
      <c r="K19" s="223"/>
      <c r="L19" s="223"/>
      <c r="M19" s="223"/>
      <c r="N19" s="223"/>
      <c r="O19" s="223"/>
      <c r="P19" s="223"/>
      <c r="Q19" s="248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</row>
    <row r="20" spans="1:37" ht="20.100000000000001" customHeight="1">
      <c r="E20" s="215"/>
    </row>
    <row r="21" spans="1:37" ht="20.100000000000001" customHeight="1">
      <c r="E21" s="215"/>
    </row>
  </sheetData>
  <conditionalFormatting sqref="J5 L5 N5 P5">
    <cfRule type="cellIs" dxfId="66" priority="10" operator="equal">
      <formula>0</formula>
    </cfRule>
    <cfRule type="cellIs" dxfId="65" priority="11" operator="lessThan">
      <formula>0</formula>
    </cfRule>
    <cfRule type="cellIs" dxfId="64" priority="12" operator="greaterThan">
      <formula>0</formula>
    </cfRule>
  </conditionalFormatting>
  <conditionalFormatting sqref="J9 P9 L9 N9">
    <cfRule type="cellIs" dxfId="63" priority="7" operator="equal">
      <formula>0</formula>
    </cfRule>
    <cfRule type="cellIs" dxfId="62" priority="8" operator="lessThan">
      <formula>0</formula>
    </cfRule>
    <cfRule type="cellIs" dxfId="61" priority="9" operator="greaterThan">
      <formula>0</formula>
    </cfRule>
  </conditionalFormatting>
  <conditionalFormatting sqref="J13 L13 N13 P13">
    <cfRule type="cellIs" dxfId="60" priority="4" operator="equal">
      <formula>0</formula>
    </cfRule>
    <cfRule type="cellIs" dxfId="59" priority="5" operator="lessThan">
      <formula>0</formula>
    </cfRule>
    <cfRule type="cellIs" dxfId="58" priority="6" operator="greaterThan">
      <formula>0</formula>
    </cfRule>
  </conditionalFormatting>
  <conditionalFormatting sqref="J18 P18 L18 N18">
    <cfRule type="cellIs" dxfId="57" priority="1" operator="equal">
      <formula>0</formula>
    </cfRule>
    <cfRule type="cellIs" dxfId="56" priority="2" operator="lessThan">
      <formula>0</formula>
    </cfRule>
    <cfRule type="cellIs" dxfId="55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0AFD3-321A-4EEB-8D92-8EDF6C36D8AF}">
  <sheetPr>
    <tabColor theme="6" tint="0.39997558519241921"/>
  </sheetPr>
  <dimension ref="A1:N7"/>
  <sheetViews>
    <sheetView zoomScale="120" zoomScaleNormal="120" workbookViewId="0"/>
  </sheetViews>
  <sheetFormatPr defaultRowHeight="15" customHeight="1"/>
  <cols>
    <col min="1" max="1" width="1.7109375" style="95" customWidth="1"/>
    <col min="2" max="2" width="36.7109375" style="32" customWidth="1"/>
    <col min="3" max="3" width="1.7109375" style="96" customWidth="1"/>
    <col min="4" max="4" width="38.140625" style="26" customWidth="1"/>
    <col min="5" max="5" width="12.7109375" style="58" customWidth="1"/>
    <col min="6" max="6" width="1.7109375" style="58" customWidth="1"/>
    <col min="7" max="7" width="10.7109375" style="95" customWidth="1"/>
    <col min="8" max="8" width="1.7109375" style="95" customWidth="1"/>
    <col min="9" max="9" width="10.7109375" style="95" customWidth="1"/>
    <col min="10" max="10" width="1.7109375" style="95" customWidth="1"/>
    <col min="11" max="11" width="10.7109375" style="97" customWidth="1"/>
    <col min="12" max="12" width="1.7109375" style="97" customWidth="1"/>
    <col min="13" max="13" width="10.7109375" style="97" customWidth="1"/>
    <col min="14" max="14" width="1.7109375" style="95" customWidth="1"/>
    <col min="15" max="15" width="4.7109375" style="136" customWidth="1"/>
    <col min="16" max="16" width="1.7109375" style="136" customWidth="1"/>
    <col min="17" max="17" width="18.5703125" style="136" bestFit="1" customWidth="1"/>
    <col min="18" max="18" width="1.7109375" style="136" customWidth="1"/>
    <col min="19" max="19" width="9.140625" style="136"/>
    <col min="20" max="20" width="1.7109375" style="136" customWidth="1"/>
    <col min="21" max="21" width="9.140625" style="136"/>
    <col min="22" max="22" width="1.7109375" style="136" customWidth="1"/>
    <col min="23" max="23" width="9.140625" style="136"/>
    <col min="24" max="24" width="1.7109375" style="136" customWidth="1"/>
    <col min="25" max="25" width="9.140625" style="136"/>
    <col min="26" max="27" width="1.7109375" style="136" customWidth="1"/>
    <col min="28" max="16384" width="9.140625" style="136"/>
  </cols>
  <sheetData>
    <row r="1" spans="1:14" s="150" customFormat="1" ht="30" customHeight="1">
      <c r="A1" s="167"/>
      <c r="B1" s="168" t="s">
        <v>19</v>
      </c>
      <c r="C1" s="169"/>
      <c r="D1" s="168"/>
      <c r="E1" s="220" t="s">
        <v>52</v>
      </c>
      <c r="F1" s="220"/>
      <c r="G1" s="171">
        <f>Balans!C2</f>
        <v>2020</v>
      </c>
      <c r="H1" s="171"/>
      <c r="I1" s="171">
        <f>Balans!E2</f>
        <v>2019</v>
      </c>
      <c r="J1" s="171"/>
      <c r="K1" s="171">
        <f>Balans!G2</f>
        <v>2018</v>
      </c>
      <c r="L1" s="171"/>
      <c r="M1" s="171">
        <f>Balans!I2</f>
        <v>2017</v>
      </c>
      <c r="N1" s="172"/>
    </row>
    <row r="2" spans="1:14" ht="15" customHeight="1">
      <c r="A2" s="76"/>
      <c r="B2" s="77"/>
      <c r="C2" s="78"/>
      <c r="D2" s="47"/>
      <c r="E2" s="93"/>
      <c r="F2" s="93"/>
      <c r="G2" s="79"/>
      <c r="H2" s="79"/>
      <c r="I2" s="79"/>
      <c r="J2" s="79"/>
      <c r="K2" s="79"/>
      <c r="L2" s="79"/>
      <c r="M2" s="80"/>
      <c r="N2" s="81"/>
    </row>
    <row r="3" spans="1:14" ht="20.100000000000001" customHeight="1">
      <c r="A3" s="76"/>
      <c r="B3" s="77" t="s">
        <v>20</v>
      </c>
      <c r="C3" s="78" t="s">
        <v>16</v>
      </c>
      <c r="D3" s="47" t="s">
        <v>51</v>
      </c>
      <c r="E3" s="93" t="s">
        <v>53</v>
      </c>
      <c r="F3" s="93"/>
      <c r="G3" s="271">
        <f>Balans!C24/Balans!M24</f>
        <v>1.9472059277554801</v>
      </c>
      <c r="H3" s="271"/>
      <c r="I3" s="271">
        <f>Balans!E24/Balans!O24</f>
        <v>1.7657563025210083</v>
      </c>
      <c r="J3" s="271"/>
      <c r="K3" s="271">
        <f>Balans!G24/Balans!Q24</f>
        <v>1.74739652870494</v>
      </c>
      <c r="L3" s="271"/>
      <c r="M3" s="271">
        <f>Balans!I24/Balans!S24</f>
        <v>1.8849744052996085</v>
      </c>
      <c r="N3" s="81"/>
    </row>
    <row r="4" spans="1:14" ht="20.100000000000001" customHeight="1">
      <c r="A4" s="76"/>
      <c r="B4" s="77" t="s">
        <v>21</v>
      </c>
      <c r="C4" s="78" t="s">
        <v>16</v>
      </c>
      <c r="D4" s="47" t="s">
        <v>22</v>
      </c>
      <c r="E4" s="93" t="s">
        <v>54</v>
      </c>
      <c r="F4" s="93"/>
      <c r="G4" s="271">
        <f>(Balans!C21+Balans!C22+Balans!C23)/Balans!M24</f>
        <v>0.53658536585365857</v>
      </c>
      <c r="H4" s="271"/>
      <c r="I4" s="271">
        <f>(Balans!E21+Balans!E22+Balans!E23)/Balans!O24</f>
        <v>0.46953781512605042</v>
      </c>
      <c r="J4" s="271"/>
      <c r="K4" s="271">
        <f>(Balans!G21+Balans!G22+Balans!G23)/Balans!Q24</f>
        <v>0.46515353805073434</v>
      </c>
      <c r="L4" s="271"/>
      <c r="M4" s="271">
        <f>(Balans!I21+Balans!I22+Balans!I23)/Balans!S24</f>
        <v>0.49563384522734116</v>
      </c>
      <c r="N4" s="81"/>
    </row>
    <row r="5" spans="1:14" ht="20.100000000000001" customHeight="1">
      <c r="A5" s="76"/>
      <c r="B5" s="77" t="s">
        <v>23</v>
      </c>
      <c r="C5" s="78" t="s">
        <v>16</v>
      </c>
      <c r="D5" s="47" t="s">
        <v>24</v>
      </c>
      <c r="E5" s="272" t="s">
        <v>160</v>
      </c>
      <c r="F5" s="272"/>
      <c r="G5" s="271">
        <f>Balans!C23/Balans!M24</f>
        <v>4.1988267983945664E-2</v>
      </c>
      <c r="H5" s="271"/>
      <c r="I5" s="271">
        <f>Balans!E23/Balans!O24</f>
        <v>1.6281512605042018E-2</v>
      </c>
      <c r="J5" s="271"/>
      <c r="K5" s="271">
        <f>Balans!G23/Balans!Q24</f>
        <v>1.0680907877169559E-2</v>
      </c>
      <c r="L5" s="271"/>
      <c r="M5" s="271">
        <f>Balans!I23/Balans!S24</f>
        <v>1.6862390846130684E-2</v>
      </c>
      <c r="N5" s="81"/>
    </row>
    <row r="6" spans="1:14" ht="15" customHeight="1">
      <c r="A6" s="83"/>
      <c r="B6" s="33"/>
      <c r="C6" s="36"/>
      <c r="D6" s="84"/>
      <c r="E6" s="94"/>
      <c r="F6" s="94"/>
      <c r="G6" s="86"/>
      <c r="H6" s="86"/>
      <c r="I6" s="86"/>
      <c r="J6" s="86"/>
      <c r="K6" s="86"/>
      <c r="L6" s="86"/>
      <c r="M6" s="87"/>
      <c r="N6" s="88"/>
    </row>
    <row r="7" spans="1:14" ht="15" customHeight="1">
      <c r="A7" s="26"/>
      <c r="G7" s="67"/>
      <c r="H7" s="67"/>
      <c r="I7" s="67"/>
      <c r="J7" s="67"/>
      <c r="K7" s="67"/>
      <c r="L7" s="67"/>
      <c r="M7" s="68"/>
      <c r="N7" s="26"/>
    </row>
  </sheetData>
  <conditionalFormatting sqref="G3 I3 K3 M3">
    <cfRule type="cellIs" dxfId="54" priority="16" operator="equal">
      <formula>1.3</formula>
    </cfRule>
    <cfRule type="cellIs" dxfId="53" priority="17" operator="lessThan">
      <formula>1.3</formula>
    </cfRule>
    <cfRule type="cellIs" dxfId="52" priority="18" operator="greaterThan">
      <formula>1.3</formula>
    </cfRule>
  </conditionalFormatting>
  <conditionalFormatting sqref="G4 I4 K4 M4">
    <cfRule type="cellIs" dxfId="51" priority="13" operator="equal">
      <formula>1</formula>
    </cfRule>
    <cfRule type="cellIs" dxfId="50" priority="14" operator="lessThan">
      <formula>1</formula>
    </cfRule>
    <cfRule type="cellIs" dxfId="49" priority="15" operator="greaterThan">
      <formula>1</formula>
    </cfRule>
  </conditionalFormatting>
  <conditionalFormatting sqref="G5 I5 K5 M5">
    <cfRule type="cellIs" dxfId="48" priority="10" operator="equal">
      <formula>0.2</formula>
    </cfRule>
    <cfRule type="cellIs" dxfId="47" priority="11" operator="lessThan">
      <formula>0.2</formula>
    </cfRule>
    <cfRule type="cellIs" dxfId="46" priority="12" operator="greaterThan">
      <formula>0.2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E13DD-A4D3-4952-9024-89830F90C855}">
  <sheetPr>
    <tabColor theme="6" tint="0.39997558519241921"/>
  </sheetPr>
  <dimension ref="A1:M7"/>
  <sheetViews>
    <sheetView zoomScale="110" zoomScaleNormal="110" workbookViewId="0"/>
  </sheetViews>
  <sheetFormatPr defaultRowHeight="15" customHeight="1"/>
  <cols>
    <col min="1" max="1" width="1.7109375" style="95" customWidth="1"/>
    <col min="2" max="2" width="36.7109375" style="32" customWidth="1"/>
    <col min="3" max="3" width="1.7109375" style="96" customWidth="1"/>
    <col min="4" max="4" width="38.140625" style="26" customWidth="1"/>
    <col min="5" max="5" width="12.7109375" style="58" customWidth="1"/>
    <col min="6" max="6" width="10.7109375" style="95" customWidth="1"/>
    <col min="7" max="7" width="1.7109375" style="95" customWidth="1"/>
    <col min="8" max="8" width="10.7109375" style="95" customWidth="1"/>
    <col min="9" max="9" width="1.7109375" style="95" customWidth="1"/>
    <col min="10" max="10" width="10.7109375" style="97" customWidth="1"/>
    <col min="11" max="11" width="1.7109375" style="97" customWidth="1"/>
    <col min="12" max="12" width="10.7109375" style="97" customWidth="1"/>
    <col min="13" max="13" width="1.7109375" style="95" customWidth="1"/>
    <col min="14" max="14" width="4.7109375" style="136" customWidth="1"/>
    <col min="15" max="15" width="1.7109375" style="136" customWidth="1"/>
    <col min="16" max="16" width="18.5703125" style="136" bestFit="1" customWidth="1"/>
    <col min="17" max="17" width="1.7109375" style="136" customWidth="1"/>
    <col min="18" max="18" width="9.140625" style="136"/>
    <col min="19" max="19" width="1.7109375" style="136" customWidth="1"/>
    <col min="20" max="20" width="9.140625" style="136"/>
    <col min="21" max="21" width="1.7109375" style="136" customWidth="1"/>
    <col min="22" max="22" width="9.140625" style="136"/>
    <col min="23" max="23" width="1.7109375" style="136" customWidth="1"/>
    <col min="24" max="24" width="9.140625" style="136"/>
    <col min="25" max="26" width="1.7109375" style="136" customWidth="1"/>
    <col min="27" max="16384" width="9.140625" style="136"/>
  </cols>
  <sheetData>
    <row r="1" spans="1:13" s="151" customFormat="1" ht="30" customHeight="1">
      <c r="A1" s="167"/>
      <c r="B1" s="168" t="s">
        <v>25</v>
      </c>
      <c r="C1" s="169"/>
      <c r="D1" s="168" t="s">
        <v>226</v>
      </c>
      <c r="E1" s="220" t="s">
        <v>52</v>
      </c>
      <c r="F1" s="219">
        <f>Balans!C2</f>
        <v>2020</v>
      </c>
      <c r="G1" s="220"/>
      <c r="H1" s="219">
        <f>Balans!E2</f>
        <v>2019</v>
      </c>
      <c r="I1" s="220"/>
      <c r="J1" s="219">
        <f>Balans!G2</f>
        <v>2018</v>
      </c>
      <c r="K1" s="220"/>
      <c r="L1" s="219">
        <f>Balans!I2</f>
        <v>2017</v>
      </c>
      <c r="M1" s="172"/>
    </row>
    <row r="2" spans="1:13" s="47" customFormat="1" ht="15" customHeight="1">
      <c r="A2" s="76"/>
      <c r="B2" s="77"/>
      <c r="C2" s="78"/>
      <c r="E2" s="93"/>
      <c r="F2" s="114"/>
      <c r="G2" s="114"/>
      <c r="H2" s="114"/>
      <c r="I2" s="114"/>
      <c r="J2" s="110"/>
      <c r="K2" s="110"/>
      <c r="L2" s="110"/>
      <c r="M2" s="91"/>
    </row>
    <row r="3" spans="1:13" s="47" customFormat="1" ht="20.100000000000001" customHeight="1">
      <c r="A3" s="115"/>
      <c r="B3" s="77" t="s">
        <v>91</v>
      </c>
      <c r="C3" s="78" t="s">
        <v>16</v>
      </c>
      <c r="D3" s="47" t="s">
        <v>26</v>
      </c>
      <c r="E3" s="93" t="s">
        <v>96</v>
      </c>
      <c r="F3" s="114">
        <f>Balans!M6/Balans!M26</f>
        <v>0.25430391758167276</v>
      </c>
      <c r="G3" s="114"/>
      <c r="H3" s="114">
        <f>Balans!O6/Balans!O26</f>
        <v>0.21502227880330999</v>
      </c>
      <c r="I3" s="114"/>
      <c r="J3" s="114">
        <f>Balans!Q6/Balans!Q26</f>
        <v>0.19751809720785937</v>
      </c>
      <c r="K3" s="114"/>
      <c r="L3" s="114">
        <f>Balans!S6/Balans!S26</f>
        <v>0.20090978013646701</v>
      </c>
      <c r="M3" s="91"/>
    </row>
    <row r="4" spans="1:13" s="47" customFormat="1" ht="20.100000000000001" customHeight="1">
      <c r="A4" s="115"/>
      <c r="B4" s="77" t="s">
        <v>92</v>
      </c>
      <c r="C4" s="78" t="s">
        <v>16</v>
      </c>
      <c r="D4" s="47" t="s">
        <v>95</v>
      </c>
      <c r="E4" s="93" t="s">
        <v>97</v>
      </c>
      <c r="F4" s="114">
        <f>(Balans!M11+Balans!M16+Balans!M24)/Balans!M26</f>
        <v>0.74569608241832719</v>
      </c>
      <c r="G4" s="114"/>
      <c r="H4" s="114">
        <f>(Balans!O11+Balans!O16+Balans!O24)/Balans!O26</f>
        <v>0.78497772119668996</v>
      </c>
      <c r="I4" s="114"/>
      <c r="J4" s="114">
        <f>(Balans!Q11+Balans!Q16+Balans!Q24)/Balans!Q26</f>
        <v>0.8024819027921406</v>
      </c>
      <c r="K4" s="114"/>
      <c r="L4" s="114">
        <f>(Balans!S11+Balans!S16+Balans!S24)/Balans!S26</f>
        <v>0.79909021986353301</v>
      </c>
      <c r="M4" s="91"/>
    </row>
    <row r="5" spans="1:13" s="47" customFormat="1" ht="20.100000000000001" customHeight="1">
      <c r="A5" s="76"/>
      <c r="B5" s="77" t="s">
        <v>93</v>
      </c>
      <c r="C5" s="78" t="s">
        <v>16</v>
      </c>
      <c r="D5" s="47" t="s">
        <v>94</v>
      </c>
      <c r="E5" s="93" t="s">
        <v>98</v>
      </c>
      <c r="F5" s="114">
        <f>Balans!M24/Balans!M26</f>
        <v>0.43906737156025483</v>
      </c>
      <c r="G5" s="114"/>
      <c r="H5" s="114">
        <f>Balans!O24/Balans!O26</f>
        <v>0.48478676002546151</v>
      </c>
      <c r="I5" s="114"/>
      <c r="J5" s="114">
        <f>Balans!Q24/Balans!Q26</f>
        <v>0.484100310237849</v>
      </c>
      <c r="K5" s="114"/>
      <c r="L5" s="114">
        <f>Balans!S24/Balans!S26</f>
        <v>0.5035633055344958</v>
      </c>
      <c r="M5" s="91"/>
    </row>
    <row r="6" spans="1:13" s="47" customFormat="1" ht="15" customHeight="1">
      <c r="A6" s="83"/>
      <c r="B6" s="33"/>
      <c r="C6" s="36"/>
      <c r="D6" s="117"/>
      <c r="E6" s="118"/>
      <c r="F6" s="119"/>
      <c r="G6" s="119"/>
      <c r="H6" s="119"/>
      <c r="I6" s="119"/>
      <c r="J6" s="111"/>
      <c r="K6" s="111"/>
      <c r="L6" s="111"/>
      <c r="M6" s="92"/>
    </row>
    <row r="7" spans="1:13" s="47" customFormat="1" ht="15" customHeight="1">
      <c r="B7" s="77"/>
      <c r="C7" s="78"/>
      <c r="E7" s="93"/>
      <c r="F7" s="116"/>
      <c r="G7" s="116"/>
      <c r="H7" s="116"/>
      <c r="I7" s="116"/>
      <c r="J7" s="105"/>
      <c r="K7" s="105"/>
      <c r="L7" s="105"/>
    </row>
  </sheetData>
  <conditionalFormatting sqref="F3 H3 J3 L3">
    <cfRule type="cellIs" dxfId="45" priority="4" operator="between">
      <formula>0.2</formula>
      <formula>0.4</formula>
    </cfRule>
    <cfRule type="cellIs" dxfId="44" priority="5" operator="lessThan">
      <formula>0.2</formula>
    </cfRule>
    <cfRule type="cellIs" dxfId="43" priority="6" operator="greaterThan">
      <formula>0.4</formula>
    </cfRule>
  </conditionalFormatting>
  <conditionalFormatting sqref="F5 H5 J5 L5">
    <cfRule type="cellIs" dxfId="42" priority="1" operator="equal">
      <formula>0.3</formula>
    </cfRule>
    <cfRule type="cellIs" dxfId="41" priority="2" operator="lessThan">
      <formula>0.3</formula>
    </cfRule>
    <cfRule type="cellIs" dxfId="40" priority="3" operator="greaterThan">
      <formula>0.3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B0E2-EDC7-49CF-AA18-1FCEA98D1900}">
  <sheetPr>
    <tabColor theme="6" tint="0.39997558519241921"/>
  </sheetPr>
  <dimension ref="A1:M8"/>
  <sheetViews>
    <sheetView zoomScale="110" zoomScaleNormal="110" workbookViewId="0"/>
  </sheetViews>
  <sheetFormatPr defaultRowHeight="15" customHeight="1"/>
  <cols>
    <col min="1" max="1" width="1.7109375" style="95" customWidth="1"/>
    <col min="2" max="2" width="38.7109375" style="32" customWidth="1"/>
    <col min="3" max="3" width="1.7109375" style="96" customWidth="1"/>
    <col min="4" max="4" width="38.7109375" style="26" customWidth="1"/>
    <col min="5" max="5" width="12.7109375" style="58" customWidth="1"/>
    <col min="6" max="6" width="10.7109375" style="95" customWidth="1"/>
    <col min="7" max="7" width="1.7109375" style="95" customWidth="1"/>
    <col min="8" max="8" width="10.7109375" style="95" customWidth="1"/>
    <col min="9" max="9" width="1.7109375" style="95" customWidth="1"/>
    <col min="10" max="10" width="10.7109375" style="97" customWidth="1"/>
    <col min="11" max="11" width="1.7109375" style="97" customWidth="1"/>
    <col min="12" max="12" width="10.7109375" style="97" customWidth="1"/>
    <col min="13" max="13" width="1.7109375" style="95" customWidth="1"/>
    <col min="14" max="14" width="4.7109375" style="136" customWidth="1"/>
    <col min="15" max="15" width="1.7109375" style="136" customWidth="1"/>
    <col min="16" max="16" width="18.5703125" style="136" bestFit="1" customWidth="1"/>
    <col min="17" max="17" width="1.7109375" style="136" customWidth="1"/>
    <col min="18" max="18" width="9.140625" style="136"/>
    <col min="19" max="19" width="1.7109375" style="136" customWidth="1"/>
    <col min="20" max="20" width="9.140625" style="136"/>
    <col min="21" max="21" width="1.7109375" style="136" customWidth="1"/>
    <col min="22" max="22" width="9.140625" style="136"/>
    <col min="23" max="23" width="1.7109375" style="136" customWidth="1"/>
    <col min="24" max="24" width="9.140625" style="136"/>
    <col min="25" max="26" width="1.7109375" style="136" customWidth="1"/>
    <col min="27" max="16384" width="9.140625" style="136"/>
  </cols>
  <sheetData>
    <row r="1" spans="1:13" ht="30" customHeight="1">
      <c r="A1" s="167"/>
      <c r="B1" s="168" t="s">
        <v>230</v>
      </c>
      <c r="C1" s="169"/>
      <c r="D1" s="170" t="s">
        <v>226</v>
      </c>
      <c r="E1" s="220"/>
      <c r="F1" s="219">
        <f>Balans!C2</f>
        <v>2020</v>
      </c>
      <c r="G1" s="219"/>
      <c r="H1" s="219">
        <f>Balans!E2</f>
        <v>2019</v>
      </c>
      <c r="I1" s="219"/>
      <c r="J1" s="219">
        <f>Balans!G2</f>
        <v>2018</v>
      </c>
      <c r="K1" s="219"/>
      <c r="L1" s="219">
        <f>Balans!I2</f>
        <v>2017</v>
      </c>
      <c r="M1" s="218"/>
    </row>
    <row r="2" spans="1:13" ht="20.100000000000001" customHeight="1">
      <c r="A2" s="99"/>
      <c r="B2" s="100"/>
      <c r="C2" s="101"/>
      <c r="D2" s="102"/>
      <c r="E2" s="103"/>
      <c r="F2" s="102"/>
      <c r="G2" s="102"/>
      <c r="H2" s="102"/>
      <c r="I2" s="102"/>
      <c r="J2" s="102"/>
      <c r="K2" s="102"/>
      <c r="L2" s="102"/>
      <c r="M2" s="120"/>
    </row>
    <row r="3" spans="1:13" ht="20.100000000000001" customHeight="1">
      <c r="A3" s="76"/>
      <c r="B3" s="77" t="s">
        <v>88</v>
      </c>
      <c r="C3" s="78" t="s">
        <v>16</v>
      </c>
      <c r="D3" s="104" t="s">
        <v>89</v>
      </c>
      <c r="E3" s="105"/>
      <c r="F3" s="105">
        <f>'V&amp;W'!E18/'V&amp;W'!E21</f>
        <v>2.6733668341708543</v>
      </c>
      <c r="G3" s="105"/>
      <c r="H3" s="105">
        <f>'V&amp;W'!G18/'V&amp;W'!G21</f>
        <v>2.3133640552995391</v>
      </c>
      <c r="I3" s="105"/>
      <c r="J3" s="105">
        <f>'V&amp;W'!I18/'V&amp;W'!I21</f>
        <v>2.8426395939086295</v>
      </c>
      <c r="K3" s="105"/>
      <c r="L3" s="113" t="s">
        <v>4</v>
      </c>
      <c r="M3" s="107"/>
    </row>
    <row r="4" spans="1:13" ht="20.100000000000001" customHeight="1">
      <c r="A4" s="76"/>
      <c r="B4" s="77"/>
      <c r="C4" s="78"/>
      <c r="D4" s="106" t="s">
        <v>111</v>
      </c>
      <c r="E4" s="47"/>
      <c r="F4" s="106"/>
      <c r="G4" s="106"/>
      <c r="H4" s="106"/>
      <c r="I4" s="106"/>
      <c r="J4" s="106"/>
      <c r="K4" s="106"/>
      <c r="L4" s="106"/>
      <c r="M4" s="121"/>
    </row>
    <row r="5" spans="1:13" ht="20.100000000000001" customHeight="1">
      <c r="A5" s="76"/>
      <c r="B5" s="77"/>
      <c r="C5" s="78"/>
      <c r="D5" s="106"/>
      <c r="E5" s="47"/>
      <c r="F5" s="106"/>
      <c r="G5" s="106"/>
      <c r="H5" s="106"/>
      <c r="I5" s="106"/>
      <c r="J5" s="106"/>
      <c r="K5" s="106"/>
      <c r="L5" s="106"/>
      <c r="M5" s="121"/>
    </row>
    <row r="6" spans="1:13" ht="20.100000000000001" customHeight="1">
      <c r="A6" s="76"/>
      <c r="B6" s="77" t="s">
        <v>113</v>
      </c>
      <c r="C6" s="78" t="s">
        <v>16</v>
      </c>
      <c r="D6" s="104" t="s">
        <v>90</v>
      </c>
      <c r="E6" s="105"/>
      <c r="F6" s="105">
        <f>'V&amp;W'!E16/'V&amp;W'!E21</f>
        <v>2.9798994974874371</v>
      </c>
      <c r="G6" s="105"/>
      <c r="H6" s="105">
        <f>'V&amp;W'!G16/'V&amp;W'!G21</f>
        <v>2.5944700460829493</v>
      </c>
      <c r="I6" s="105"/>
      <c r="J6" s="105">
        <f>'V&amp;W'!I16/'V&amp;W'!I21</f>
        <v>3.1878172588832485</v>
      </c>
      <c r="K6" s="105"/>
      <c r="L6" s="113" t="s">
        <v>4</v>
      </c>
      <c r="M6" s="107"/>
    </row>
    <row r="7" spans="1:13" ht="20.100000000000001" customHeight="1">
      <c r="A7" s="76"/>
      <c r="B7" s="77"/>
      <c r="C7" s="78"/>
      <c r="D7" s="106" t="s">
        <v>112</v>
      </c>
      <c r="E7" s="105"/>
      <c r="F7" s="106"/>
      <c r="G7" s="106"/>
      <c r="H7" s="106"/>
      <c r="I7" s="106"/>
      <c r="J7" s="106"/>
      <c r="K7" s="106"/>
      <c r="L7" s="106"/>
      <c r="M7" s="121"/>
    </row>
    <row r="8" spans="1:13" ht="20.100000000000001" customHeight="1">
      <c r="A8" s="83"/>
      <c r="B8" s="33"/>
      <c r="C8" s="36"/>
      <c r="D8" s="42"/>
      <c r="E8" s="111"/>
      <c r="F8" s="112"/>
      <c r="G8" s="112"/>
      <c r="H8" s="112"/>
      <c r="I8" s="112"/>
      <c r="J8" s="112"/>
      <c r="K8" s="112"/>
      <c r="L8" s="112"/>
      <c r="M8" s="122"/>
    </row>
  </sheetData>
  <conditionalFormatting sqref="F3 H3 J3">
    <cfRule type="cellIs" dxfId="5" priority="6" operator="greaterThan">
      <formula>5</formula>
    </cfRule>
    <cfRule type="cellIs" dxfId="4" priority="5" operator="lessThan">
      <formula>1.5</formula>
    </cfRule>
    <cfRule type="cellIs" dxfId="3" priority="4" operator="between">
      <formula>1.5</formula>
      <formula>5</formula>
    </cfRule>
  </conditionalFormatting>
  <conditionalFormatting sqref="F6 H6 J6">
    <cfRule type="cellIs" dxfId="0" priority="3" operator="greaterThan">
      <formula>7</formula>
    </cfRule>
    <cfRule type="cellIs" dxfId="1" priority="2" operator="lessThan">
      <formula>3</formula>
    </cfRule>
    <cfRule type="cellIs" dxfId="2" priority="1" operator="between">
      <formula>3</formula>
      <formula>7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4EBC-4DE1-4F98-9DE2-E9F8A691875D}">
  <sheetPr>
    <tabColor theme="6" tint="0.39997558519241921"/>
  </sheetPr>
  <dimension ref="A1:N17"/>
  <sheetViews>
    <sheetView zoomScale="120" zoomScaleNormal="120" workbookViewId="0"/>
  </sheetViews>
  <sheetFormatPr defaultRowHeight="15" customHeight="1"/>
  <cols>
    <col min="1" max="1" width="1.7109375" style="95" customWidth="1"/>
    <col min="2" max="2" width="36.7109375" style="32" customWidth="1"/>
    <col min="3" max="3" width="1.7109375" style="96" customWidth="1"/>
    <col min="4" max="4" width="38.140625" style="26" customWidth="1"/>
    <col min="5" max="5" width="12.7109375" style="165" customWidth="1"/>
    <col min="6" max="6" width="1.7109375" style="58" customWidth="1"/>
    <col min="7" max="7" width="10.7109375" style="95" customWidth="1"/>
    <col min="8" max="8" width="1.7109375" style="95" customWidth="1"/>
    <col min="9" max="9" width="10.7109375" style="95" customWidth="1"/>
    <col min="10" max="10" width="1.7109375" style="95" customWidth="1"/>
    <col min="11" max="11" width="10.7109375" style="97" customWidth="1"/>
    <col min="12" max="12" width="1.7109375" style="97" customWidth="1"/>
    <col min="13" max="13" width="10.7109375" style="97" customWidth="1"/>
    <col min="14" max="14" width="1.7109375" style="95" customWidth="1"/>
    <col min="15" max="15" width="4.7109375" style="136" customWidth="1"/>
    <col min="16" max="16" width="1.7109375" style="136" customWidth="1"/>
    <col min="17" max="17" width="18.5703125" style="136" bestFit="1" customWidth="1"/>
    <col min="18" max="18" width="1.7109375" style="136" customWidth="1"/>
    <col min="19" max="19" width="9.140625" style="136"/>
    <col min="20" max="20" width="1.7109375" style="136" customWidth="1"/>
    <col min="21" max="21" width="9.140625" style="136"/>
    <col min="22" max="22" width="1.7109375" style="136" customWidth="1"/>
    <col min="23" max="23" width="9.140625" style="136"/>
    <col min="24" max="24" width="1.7109375" style="136" customWidth="1"/>
    <col min="25" max="25" width="9.140625" style="136"/>
    <col min="26" max="27" width="1.7109375" style="136" customWidth="1"/>
    <col min="28" max="16384" width="9.140625" style="136"/>
  </cols>
  <sheetData>
    <row r="1" spans="1:14" s="150" customFormat="1" ht="30" customHeight="1">
      <c r="A1" s="167"/>
      <c r="B1" s="168" t="s">
        <v>19</v>
      </c>
      <c r="C1" s="169"/>
      <c r="D1" s="168"/>
      <c r="E1" s="169" t="s">
        <v>52</v>
      </c>
      <c r="F1" s="220"/>
      <c r="G1" s="171">
        <f>Balans!C2</f>
        <v>2020</v>
      </c>
      <c r="H1" s="171"/>
      <c r="I1" s="171">
        <f>Balans!E2</f>
        <v>2019</v>
      </c>
      <c r="J1" s="171"/>
      <c r="K1" s="171">
        <f>Balans!G2</f>
        <v>2018</v>
      </c>
      <c r="L1" s="171"/>
      <c r="M1" s="171">
        <f>Balans!I2</f>
        <v>2017</v>
      </c>
      <c r="N1" s="172"/>
    </row>
    <row r="2" spans="1:14" ht="15" customHeight="1">
      <c r="A2" s="76"/>
      <c r="B2" s="77"/>
      <c r="C2" s="78"/>
      <c r="D2" s="47"/>
      <c r="E2" s="212"/>
      <c r="F2" s="93"/>
      <c r="G2" s="79"/>
      <c r="H2" s="79"/>
      <c r="I2" s="79"/>
      <c r="J2" s="79"/>
      <c r="K2" s="79"/>
      <c r="L2" s="79"/>
      <c r="M2" s="80"/>
      <c r="N2" s="81"/>
    </row>
    <row r="3" spans="1:14" ht="20.100000000000001" customHeight="1">
      <c r="A3" s="76"/>
      <c r="B3" s="77" t="s">
        <v>20</v>
      </c>
      <c r="C3" s="78" t="s">
        <v>16</v>
      </c>
      <c r="D3" s="47" t="s">
        <v>51</v>
      </c>
      <c r="E3" s="212" t="s">
        <v>53</v>
      </c>
      <c r="F3" s="93"/>
      <c r="G3" s="271">
        <f>Balans!C24/Balans!M24</f>
        <v>1.9472059277554801</v>
      </c>
      <c r="H3" s="271"/>
      <c r="I3" s="271">
        <f>Balans!E24/Balans!O24</f>
        <v>1.7657563025210083</v>
      </c>
      <c r="J3" s="271"/>
      <c r="K3" s="271">
        <f>Balans!G24/Balans!Q24</f>
        <v>1.74739652870494</v>
      </c>
      <c r="L3" s="271"/>
      <c r="M3" s="271">
        <f>Balans!I24/Balans!S24</f>
        <v>1.8849744052996085</v>
      </c>
      <c r="N3" s="81"/>
    </row>
    <row r="4" spans="1:14" ht="20.100000000000001" customHeight="1">
      <c r="A4" s="76"/>
      <c r="B4" s="77" t="s">
        <v>21</v>
      </c>
      <c r="C4" s="78" t="s">
        <v>16</v>
      </c>
      <c r="D4" s="47" t="s">
        <v>22</v>
      </c>
      <c r="E4" s="212" t="s">
        <v>54</v>
      </c>
      <c r="F4" s="93"/>
      <c r="G4" s="271">
        <f>(Balans!C21+Balans!C22+Balans!C23)/Balans!M24</f>
        <v>0.53658536585365857</v>
      </c>
      <c r="H4" s="271"/>
      <c r="I4" s="271">
        <f>(Balans!E21+Balans!E22+Balans!E23)/Balans!O24</f>
        <v>0.46953781512605042</v>
      </c>
      <c r="J4" s="271"/>
      <c r="K4" s="271">
        <f>(Balans!G21+Balans!G22+Balans!G23)/Balans!Q24</f>
        <v>0.46515353805073434</v>
      </c>
      <c r="L4" s="271"/>
      <c r="M4" s="271">
        <f>(Balans!I21+Balans!I22+Balans!I23)/Balans!S24</f>
        <v>0.49563384522734116</v>
      </c>
      <c r="N4" s="81"/>
    </row>
    <row r="5" spans="1:14" ht="20.100000000000001" customHeight="1">
      <c r="A5" s="76"/>
      <c r="B5" s="77" t="s">
        <v>23</v>
      </c>
      <c r="C5" s="78" t="s">
        <v>16</v>
      </c>
      <c r="D5" s="47" t="s">
        <v>24</v>
      </c>
      <c r="E5" s="275" t="s">
        <v>160</v>
      </c>
      <c r="F5" s="272"/>
      <c r="G5" s="271">
        <f>Balans!C23/Balans!M24</f>
        <v>4.1988267983945664E-2</v>
      </c>
      <c r="H5" s="271"/>
      <c r="I5" s="271">
        <f>Balans!E23/Balans!O24</f>
        <v>1.6281512605042018E-2</v>
      </c>
      <c r="J5" s="271"/>
      <c r="K5" s="271">
        <f>Balans!G23/Balans!Q24</f>
        <v>1.0680907877169559E-2</v>
      </c>
      <c r="L5" s="271"/>
      <c r="M5" s="271">
        <f>Balans!I23/Balans!S24</f>
        <v>1.6862390846130684E-2</v>
      </c>
      <c r="N5" s="81"/>
    </row>
    <row r="6" spans="1:14" ht="15" customHeight="1">
      <c r="A6" s="83"/>
      <c r="B6" s="33"/>
      <c r="C6" s="36"/>
      <c r="D6" s="84"/>
      <c r="E6" s="85"/>
      <c r="F6" s="94"/>
      <c r="G6" s="86"/>
      <c r="H6" s="86"/>
      <c r="I6" s="86"/>
      <c r="J6" s="86"/>
      <c r="K6" s="86"/>
      <c r="L6" s="86"/>
      <c r="M6" s="87"/>
      <c r="N6" s="88"/>
    </row>
    <row r="7" spans="1:14" ht="15" customHeight="1">
      <c r="A7" s="26"/>
      <c r="G7" s="67"/>
      <c r="H7" s="67"/>
      <c r="I7" s="67"/>
      <c r="J7" s="67"/>
      <c r="K7" s="67"/>
      <c r="L7" s="67"/>
      <c r="M7" s="68"/>
      <c r="N7" s="26"/>
    </row>
    <row r="9" spans="1:14" s="150" customFormat="1" ht="30" customHeight="1">
      <c r="A9" s="167"/>
      <c r="B9" s="168" t="s">
        <v>186</v>
      </c>
      <c r="C9" s="169"/>
      <c r="D9" s="168"/>
      <c r="E9" s="169" t="s">
        <v>52</v>
      </c>
      <c r="F9" s="220"/>
      <c r="G9" s="171">
        <f>G1</f>
        <v>2020</v>
      </c>
      <c r="H9" s="171"/>
      <c r="I9" s="171">
        <f t="shared" ref="I9:M9" si="0">I1</f>
        <v>2019</v>
      </c>
      <c r="J9" s="171"/>
      <c r="K9" s="171">
        <f t="shared" ref="K9:M9" si="1">K1</f>
        <v>2018</v>
      </c>
      <c r="L9" s="171"/>
      <c r="M9" s="171">
        <f t="shared" ref="M9" si="2">M1</f>
        <v>2017</v>
      </c>
      <c r="N9" s="172"/>
    </row>
    <row r="10" spans="1:14" ht="15" customHeight="1">
      <c r="A10" s="76"/>
      <c r="B10" s="77"/>
      <c r="C10" s="78"/>
      <c r="D10" s="47"/>
      <c r="E10" s="212"/>
      <c r="F10" s="93"/>
      <c r="G10" s="79"/>
      <c r="H10" s="79"/>
      <c r="I10" s="79"/>
      <c r="J10" s="79"/>
      <c r="K10" s="79"/>
      <c r="L10" s="79"/>
      <c r="M10" s="80"/>
      <c r="N10" s="81"/>
    </row>
    <row r="11" spans="1:14" ht="20.100000000000001" customHeight="1">
      <c r="A11" s="76"/>
      <c r="B11" s="77" t="s">
        <v>187</v>
      </c>
      <c r="C11" s="78" t="s">
        <v>16</v>
      </c>
      <c r="D11" s="175" t="s">
        <v>188</v>
      </c>
      <c r="E11" s="275" t="s">
        <v>189</v>
      </c>
      <c r="F11" s="93"/>
      <c r="G11" s="271">
        <f>'234. Werkkapitaal'!K4/Balans!M24</f>
        <v>0.94720592775548007</v>
      </c>
      <c r="H11" s="271"/>
      <c r="I11" s="271">
        <f>'234. Werkkapitaal'!M4/Balans!O24</f>
        <v>0.76575630252100846</v>
      </c>
      <c r="J11" s="271"/>
      <c r="K11" s="271">
        <f>'234. Werkkapitaal'!O4/Balans!Q24</f>
        <v>0.74739652870493989</v>
      </c>
      <c r="L11" s="271"/>
      <c r="M11" s="271">
        <f>'234. Werkkapitaal'!Q4/Balans!S24</f>
        <v>0.88497440529960858</v>
      </c>
      <c r="N11" s="81"/>
    </row>
    <row r="12" spans="1:14" ht="20.100000000000001" customHeight="1">
      <c r="A12" s="76"/>
      <c r="B12" s="77"/>
      <c r="C12" s="78"/>
      <c r="D12" s="175" t="s">
        <v>191</v>
      </c>
      <c r="E12" s="275"/>
      <c r="F12" s="272"/>
      <c r="G12" s="272"/>
      <c r="H12" s="272"/>
      <c r="I12" s="272"/>
      <c r="J12" s="272"/>
      <c r="K12" s="272"/>
      <c r="L12" s="272"/>
      <c r="M12" s="272"/>
      <c r="N12" s="81"/>
    </row>
    <row r="13" spans="1:14" ht="20.100000000000001" customHeight="1">
      <c r="A13" s="76"/>
      <c r="B13" s="77"/>
      <c r="C13" s="78"/>
      <c r="D13" s="175"/>
      <c r="E13" s="275"/>
      <c r="F13" s="272"/>
      <c r="G13" s="272"/>
      <c r="H13" s="272"/>
      <c r="I13" s="272"/>
      <c r="J13" s="272"/>
      <c r="K13" s="272"/>
      <c r="L13" s="272"/>
      <c r="M13" s="272"/>
      <c r="N13" s="81"/>
    </row>
    <row r="14" spans="1:14" ht="20.100000000000001" customHeight="1">
      <c r="A14" s="76"/>
      <c r="B14" s="77" t="s">
        <v>192</v>
      </c>
      <c r="C14" s="78" t="s">
        <v>16</v>
      </c>
      <c r="D14" s="175" t="s">
        <v>188</v>
      </c>
      <c r="E14" s="275" t="s">
        <v>190</v>
      </c>
      <c r="F14" s="93"/>
      <c r="G14" s="271">
        <f>'234. Werkkapitaal'!K4/Balans!M24</f>
        <v>0.94720592775548007</v>
      </c>
      <c r="H14" s="271"/>
      <c r="I14" s="271">
        <f>'234. Werkkapitaal'!M4/Balans!O24</f>
        <v>0.76575630252100846</v>
      </c>
      <c r="J14" s="271"/>
      <c r="K14" s="271">
        <f>'234. Werkkapitaal'!O4/Balans!Q24</f>
        <v>0.74739652870493989</v>
      </c>
      <c r="L14" s="271"/>
      <c r="M14" s="271">
        <f>'234. Werkkapitaal'!Q4/Balans!S24</f>
        <v>0.88497440529960858</v>
      </c>
      <c r="N14" s="81"/>
    </row>
    <row r="15" spans="1:14" ht="20.100000000000001" customHeight="1">
      <c r="A15" s="76"/>
      <c r="B15" s="136"/>
      <c r="C15" s="78"/>
      <c r="D15" s="175" t="s">
        <v>193</v>
      </c>
      <c r="E15" s="275"/>
      <c r="F15" s="272"/>
      <c r="G15" s="272"/>
      <c r="H15" s="272"/>
      <c r="I15" s="272"/>
      <c r="J15" s="272"/>
      <c r="K15" s="272"/>
      <c r="L15" s="272"/>
      <c r="M15" s="272"/>
      <c r="N15" s="81"/>
    </row>
    <row r="16" spans="1:14" ht="15" customHeight="1">
      <c r="A16" s="83"/>
      <c r="B16" s="33"/>
      <c r="C16" s="36"/>
      <c r="D16" s="84"/>
      <c r="E16" s="85"/>
      <c r="F16" s="94"/>
      <c r="G16" s="86"/>
      <c r="H16" s="86"/>
      <c r="I16" s="86"/>
      <c r="J16" s="86"/>
      <c r="K16" s="86"/>
      <c r="L16" s="86"/>
      <c r="M16" s="87"/>
      <c r="N16" s="88"/>
    </row>
    <row r="17" spans="1:14" ht="15" customHeight="1">
      <c r="A17" s="26"/>
      <c r="G17" s="67"/>
      <c r="H17" s="67"/>
      <c r="I17" s="67"/>
      <c r="J17" s="67"/>
      <c r="K17" s="67"/>
      <c r="L17" s="67"/>
      <c r="M17" s="68"/>
      <c r="N17" s="26"/>
    </row>
  </sheetData>
  <conditionalFormatting sqref="G3 I3 K3 M3">
    <cfRule type="cellIs" dxfId="39" priority="23" operator="equal">
      <formula>1.3</formula>
    </cfRule>
    <cfRule type="cellIs" dxfId="38" priority="24" operator="lessThan">
      <formula>1.3</formula>
    </cfRule>
    <cfRule type="cellIs" dxfId="37" priority="25" operator="greaterThan">
      <formula>1.3</formula>
    </cfRule>
  </conditionalFormatting>
  <conditionalFormatting sqref="G4 I4 K4 M4">
    <cfRule type="cellIs" dxfId="36" priority="20" operator="equal">
      <formula>1</formula>
    </cfRule>
    <cfRule type="cellIs" dxfId="35" priority="21" operator="lessThan">
      <formula>1</formula>
    </cfRule>
    <cfRule type="cellIs" dxfId="34" priority="22" operator="greaterThan">
      <formula>1</formula>
    </cfRule>
  </conditionalFormatting>
  <conditionalFormatting sqref="G5 I5 K5 M5">
    <cfRule type="cellIs" dxfId="33" priority="17" operator="equal">
      <formula>0.2</formula>
    </cfRule>
    <cfRule type="cellIs" dxfId="32" priority="18" operator="lessThan">
      <formula>0.2</formula>
    </cfRule>
    <cfRule type="cellIs" dxfId="31" priority="19" operator="greaterThan">
      <formula>0.2</formula>
    </cfRule>
  </conditionalFormatting>
  <conditionalFormatting sqref="G11 I11 K11 M11">
    <cfRule type="cellIs" dxfId="30" priority="4" operator="equal">
      <formula>0.3</formula>
    </cfRule>
    <cfRule type="cellIs" dxfId="29" priority="5" operator="lessThan">
      <formula>0.3</formula>
    </cfRule>
    <cfRule type="cellIs" dxfId="28" priority="6" operator="greaterThan">
      <formula>0.3</formula>
    </cfRule>
    <cfRule type="cellIs" dxfId="27" priority="7" operator="greaterThan">
      <formula>"0.3"</formula>
    </cfRule>
  </conditionalFormatting>
  <conditionalFormatting sqref="G14 I14 K14 M14">
    <cfRule type="cellIs" dxfId="26" priority="1" operator="equal">
      <formula>0</formula>
    </cfRule>
    <cfRule type="cellIs" dxfId="25" priority="2" operator="lessThan">
      <formula>0</formula>
    </cfRule>
    <cfRule type="cellIs" dxfId="24" priority="3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Balans</vt:lpstr>
      <vt:lpstr>V&amp;W</vt:lpstr>
      <vt:lpstr>234. Werkkapitaal</vt:lpstr>
      <vt:lpstr>234. Werkkapitaalmatrix</vt:lpstr>
      <vt:lpstr>235. CaCu</vt:lpstr>
      <vt:lpstr>236. Liquiditeit</vt:lpstr>
      <vt:lpstr>237. Solvabel</vt:lpstr>
      <vt:lpstr>237. i-coverage</vt:lpstr>
      <vt:lpstr>239. WK ratio</vt:lpstr>
      <vt:lpstr>239. Activiteit</vt:lpstr>
      <vt:lpstr>240. Dood WK</vt:lpstr>
      <vt:lpstr>242. CF Proxies</vt:lpstr>
      <vt:lpstr>242. OCF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dcterms:created xsi:type="dcterms:W3CDTF">2010-11-03T18:29:45Z</dcterms:created>
  <dcterms:modified xsi:type="dcterms:W3CDTF">2021-12-22T20:55:02Z</dcterms:modified>
</cp:coreProperties>
</file>